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FbX037Wbt9Bf2fg1A5xThPo7ZFKoDiyNQc6FNiTHJuOOscVoQ+Hl8eoaSv47uT03KzeNJAPZcH5sUlZP+spAiQ==" workbookSaltValue="//+qnnOU9DbaV8lFWUXn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I32" i="20"/>
  <c r="Q32" i="20"/>
  <c r="AE32" i="20"/>
  <c r="AZ32" i="20"/>
  <c r="O18" i="11"/>
  <c r="R32" i="20"/>
  <c r="E23" i="12" l="1"/>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BF23" i="13" l="1"/>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BH25" i="11"/>
  <c r="BK10" i="11"/>
  <c r="BI21" i="11"/>
  <c r="L10" i="2"/>
  <c r="L28" i="2"/>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O25" i="17"/>
  <c r="X21" i="20"/>
  <c r="L17"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<sst xmlns="http://schemas.openxmlformats.org/spreadsheetml/2006/main" count="2682" uniqueCount="1193">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</sst>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r8ny7AYACdLanzmhyZqwtt257CWe3BXWUqbcWN6mgbDt4jJ0dbDIsLf9YEP9zbQ6x84YNtrQGO85EI/4weCVA==" saltValue="vSTsW2HDkPER/WJWOARs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64.75595238095238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355</v>
      </c>
      <c r="D17" s="239">
        <f>IF(ISNUMBER(IF(D_I="SI",Datos!I17,Datos!I17+Datos!AC17)),IF(D_I="SI",Datos!I17,Datos!I17+Datos!AC17)," - ")</f>
        <v>354</v>
      </c>
      <c r="E17" s="240">
        <f>IF(ISNUMBER(IF(D_I="SI",Datos!J17,Datos!J17+Datos!AD17)),IF(D_I="SI",Datos!J17,Datos!J17+Datos!AD17)," - ")</f>
        <v>316</v>
      </c>
      <c r="F17" s="240">
        <f>IF(ISNUMBER(IF(D_I="SI",Datos!K17,Datos!K17+Datos!AE17)),IF(D_I="SI",Datos!K17,Datos!K17+Datos!AE17)," - ")</f>
        <v>288</v>
      </c>
      <c r="G17" s="1390" t="str">
        <f>IF(Datos!E17&lt;&gt;"",Datos!E17,Datos!D17)</f>
        <v>04</v>
      </c>
      <c r="H17" s="241">
        <f>IF(ISNUMBER(IF(D_I="SI",Datos!L17,Datos!L17+Datos!AF17)),IF(D_I="SI",Datos!L17,Datos!L17+Datos!AF17)," - ")</f>
        <v>383</v>
      </c>
      <c r="I17" s="1400" t="str">
        <f>IF(ISNUMBER(Datos!AS17/Datos!BM17),Datos!AS17/Datos!BM17," - ")</f>
        <v xml:space="preserve"> - </v>
      </c>
      <c r="J17" s="1401">
        <f>IF(ISNUMBER(Datos!BY17/Datos!CN17),Datos!BY17/Datos!CN17," - ")</f>
        <v>0</v>
      </c>
      <c r="K17" s="244">
        <f t="shared" si="3"/>
        <v>7.8873239436619724E-2</v>
      </c>
      <c r="L17" s="1402">
        <f>IF(ISNUMBER(NºAsuntos!I17/NºAsuntos!G17),(NºAsuntos!I17/NºAsuntos!G17)*11," - ")</f>
        <v>14.628472222222223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66</v>
      </c>
      <c r="D18" s="239">
        <f>IF(ISNUMBER(IF(D_I="SI",Datos!I18,Datos!I18+Datos!AC18)),IF(D_I="SI",Datos!I18,Datos!I18+Datos!AC18)," - ")</f>
        <v>66</v>
      </c>
      <c r="E18" s="240">
        <f>IF(ISNUMBER(IF(D_I="SI",Datos!J18,Datos!J18+Datos!AD18)),IF(D_I="SI",Datos!J18,Datos!J18+Datos!AD18)," - ")</f>
        <v>41</v>
      </c>
      <c r="F18" s="240">
        <f>IF(ISNUMBER(IF(D_I="SI",Datos!K18,Datos!K18+Datos!AE18)),IF(D_I="SI",Datos!K18,Datos!K18+Datos!AE18)," - ")</f>
        <v>28</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0.19696969696969696</v>
      </c>
      <c r="L18" s="1402">
        <f>IF(ISNUMBER(NºAsuntos!I18/NºAsuntos!G18),(NºAsuntos!I18/NºAsuntos!G18)*11," - ")</f>
        <v>31.035714285714288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421</v>
      </c>
      <c r="D23" s="1407">
        <f>SUBTOTAL(9,D16:D22)</f>
        <v>420</v>
      </c>
      <c r="E23" s="1408">
        <f>SUBTOTAL(9,E16:E22)</f>
        <v>357</v>
      </c>
      <c r="F23" s="1408">
        <f>SUBTOTAL(9,F16:F22)</f>
        <v>316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427</v>
      </c>
      <c r="D31" s="1435">
        <f>SUBTOTAL(9,D9:D30)</f>
        <v>426</v>
      </c>
      <c r="E31" s="1436">
        <f>SUBTOTAL(9,E9:E30)</f>
        <v>359</v>
      </c>
      <c r="F31" s="1436">
        <f>SUBTOTAL(9,F9:F30)</f>
        <v>317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mLwOgCf36u8g1XjetDb3dlwAHTfpL5AQPdQiLtEYqFEJGgNGTm3QW+szkwgC6WvOKKfiORarlIgVNSr+yyFBw==" saltValue="iKi3pqCnXurtVHu298Rf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ObcSkyLoYUwobxptK7BeWvQX8PhH1lTeh+MiznymLoH9NMTlPRELhUy7Ec7YMSqUfldWBQ2cG9lwqE6lLKjxA==" saltValue="coNU8N4i45T0f2XhnGfR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1</v>
      </c>
      <c r="L10" s="194">
        <v>7</v>
      </c>
      <c r="M10" s="194">
        <v>0</v>
      </c>
      <c r="N10" s="194">
        <v>1</v>
      </c>
      <c r="O10" s="194">
        <v>0</v>
      </c>
      <c r="P10" s="194">
        <v>0</v>
      </c>
      <c r="Q10" s="194">
        <v>0</v>
      </c>
      <c r="R10" s="194">
        <v>0</v>
      </c>
      <c r="S10" s="194">
        <v>9</v>
      </c>
      <c r="T10" s="194">
        <v>1</v>
      </c>
      <c r="U10" s="194">
        <v>1</v>
      </c>
      <c r="V10" s="194">
        <v>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1</v>
      </c>
      <c r="BB10" s="139">
        <f t="shared" si="0"/>
        <v>9</v>
      </c>
      <c r="BC10" s="135">
        <f t="shared" si="0"/>
        <v>1</v>
      </c>
      <c r="BD10" s="136">
        <f>IF(ISNUMBER(BA10/AZ10),BA10/AZ10," - ")</f>
        <v>1</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815</v>
      </c>
      <c r="J12" s="196">
        <v>276</v>
      </c>
      <c r="K12" s="196">
        <v>155</v>
      </c>
      <c r="L12" s="196">
        <v>936</v>
      </c>
      <c r="M12" s="196">
        <v>31</v>
      </c>
      <c r="N12" s="196">
        <v>88</v>
      </c>
      <c r="O12" s="194">
        <v>66</v>
      </c>
      <c r="P12" s="196">
        <v>65</v>
      </c>
      <c r="Q12" s="196">
        <v>22</v>
      </c>
      <c r="R12" s="196">
        <v>1462</v>
      </c>
      <c r="S12" s="196">
        <v>691</v>
      </c>
      <c r="T12" s="196">
        <v>197</v>
      </c>
      <c r="U12" s="196">
        <v>209</v>
      </c>
      <c r="V12" s="196">
        <v>679</v>
      </c>
      <c r="W12" s="196">
        <v>44</v>
      </c>
      <c r="X12" s="202">
        <v>76</v>
      </c>
      <c r="Y12" s="204">
        <v>39</v>
      </c>
      <c r="Z12" s="194">
        <v>27</v>
      </c>
      <c r="AA12" s="194">
        <v>13</v>
      </c>
      <c r="AB12" s="194">
        <v>53</v>
      </c>
      <c r="AC12" s="196">
        <v>0</v>
      </c>
      <c r="AD12" s="196">
        <v>0</v>
      </c>
      <c r="AE12" s="196">
        <v>0</v>
      </c>
      <c r="AF12" s="202">
        <v>0</v>
      </c>
      <c r="AG12" s="215">
        <v>38</v>
      </c>
      <c r="AH12" s="196">
        <v>32</v>
      </c>
      <c r="AI12" s="196">
        <v>29</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729</v>
      </c>
      <c r="AZ12" s="137">
        <f t="shared" si="1"/>
        <v>229</v>
      </c>
      <c r="BA12" s="137">
        <f t="shared" si="1"/>
        <v>238</v>
      </c>
      <c r="BB12" s="137">
        <f t="shared" si="1"/>
        <v>720</v>
      </c>
      <c r="BC12" s="135">
        <f>IF(ISNUMBER(X12),X12," - ")</f>
        <v>76</v>
      </c>
      <c r="BD12" s="136">
        <f t="shared" si="2"/>
        <v>1.0393013100436681</v>
      </c>
      <c r="BE12" s="137">
        <f t="shared" si="3"/>
        <v>3.0252100840336134</v>
      </c>
      <c r="BF12" s="137">
        <f t="shared" si="4"/>
        <v>0.31932773109243695</v>
      </c>
      <c r="BG12" s="209">
        <f t="shared" si="5"/>
        <v>4.0252100840336134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821</v>
      </c>
      <c r="J14" s="197">
        <f t="shared" si="7"/>
        <v>278</v>
      </c>
      <c r="K14" s="197">
        <f t="shared" si="7"/>
        <v>156</v>
      </c>
      <c r="L14" s="197">
        <f t="shared" si="7"/>
        <v>943</v>
      </c>
      <c r="M14" s="197">
        <f t="shared" si="7"/>
        <v>31</v>
      </c>
      <c r="N14" s="197">
        <f t="shared" si="7"/>
        <v>89</v>
      </c>
      <c r="O14" s="197">
        <f t="shared" si="7"/>
        <v>66</v>
      </c>
      <c r="P14" s="197">
        <f t="shared" si="7"/>
        <v>65</v>
      </c>
      <c r="Q14" s="197">
        <f t="shared" si="7"/>
        <v>22</v>
      </c>
      <c r="R14" s="197">
        <f t="shared" si="7"/>
        <v>1462</v>
      </c>
      <c r="S14" s="197">
        <f t="shared" si="7"/>
        <v>700</v>
      </c>
      <c r="T14" s="197">
        <f t="shared" si="7"/>
        <v>198</v>
      </c>
      <c r="U14" s="197">
        <f t="shared" si="7"/>
        <v>210</v>
      </c>
      <c r="V14" s="197">
        <f t="shared" si="7"/>
        <v>688</v>
      </c>
      <c r="W14" s="197">
        <f t="shared" si="7"/>
        <v>45</v>
      </c>
      <c r="X14" s="197">
        <f t="shared" si="7"/>
        <v>76</v>
      </c>
      <c r="Y14" s="197">
        <f t="shared" si="7"/>
        <v>39</v>
      </c>
      <c r="Z14" s="197">
        <f t="shared" si="7"/>
        <v>27</v>
      </c>
      <c r="AA14" s="197">
        <f t="shared" si="7"/>
        <v>13</v>
      </c>
      <c r="AB14" s="197">
        <f t="shared" si="7"/>
        <v>53</v>
      </c>
      <c r="AC14" s="197">
        <f t="shared" si="7"/>
        <v>0</v>
      </c>
      <c r="AD14" s="197">
        <f t="shared" si="7"/>
        <v>0</v>
      </c>
      <c r="AE14" s="197">
        <f t="shared" si="7"/>
        <v>0</v>
      </c>
      <c r="AF14" s="197">
        <f>SUBTOTAL(9,AF9:AF13)</f>
        <v>0</v>
      </c>
      <c r="AG14" s="197">
        <f t="shared" ref="AG14:AT14" si="8">SUBTOTAL(9,AG8:AG13)</f>
        <v>38</v>
      </c>
      <c r="AH14" s="197">
        <f t="shared" si="8"/>
        <v>32</v>
      </c>
      <c r="AI14" s="197">
        <f t="shared" si="8"/>
        <v>29</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738</v>
      </c>
      <c r="AZ14" s="197">
        <f>SUBTOTAL(9,AZ8:AZ13)</f>
        <v>230</v>
      </c>
      <c r="BA14" s="197">
        <f>SUBTOTAL(9,BA8:BA13)</f>
        <v>239</v>
      </c>
      <c r="BB14" s="197">
        <f>SUBTOTAL(9,BB8:BB13)</f>
        <v>729</v>
      </c>
      <c r="BC14" s="197">
        <f>SUBTOTAL(9,BC8:BC13)</f>
        <v>77</v>
      </c>
      <c r="BD14" s="219">
        <f>IF(ISNUMBER(BA14/AZ14),BA14/AZ14," - ")</f>
        <v>1.0391304347826087</v>
      </c>
      <c r="BE14" s="220">
        <f>IF(ISNUMBER(BB14/BA14),BB14/BA14, " - ")</f>
        <v>3.0502092050209204</v>
      </c>
      <c r="BF14" s="220">
        <f>IF(ISNUMBER(BC14/BA14),BC14/BA14, " - ")</f>
        <v>0.32217573221757323</v>
      </c>
      <c r="BG14" s="221">
        <f>IF(ISNUMBER((AY14+AZ14)/BA14),(AY14+AZ14)/BA14," - ")</f>
        <v>4.0502092050209209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354</v>
      </c>
      <c r="J17" s="196">
        <v>316</v>
      </c>
      <c r="K17" s="196">
        <v>288</v>
      </c>
      <c r="L17" s="196">
        <v>383</v>
      </c>
      <c r="M17" s="196">
        <v>28</v>
      </c>
      <c r="N17" s="196">
        <v>199</v>
      </c>
      <c r="O17" s="194">
        <v>2</v>
      </c>
      <c r="P17" s="196">
        <v>8</v>
      </c>
      <c r="Q17" s="196">
        <v>4</v>
      </c>
      <c r="R17" s="196">
        <v>45</v>
      </c>
      <c r="S17" s="196">
        <v>342</v>
      </c>
      <c r="T17" s="196">
        <v>358</v>
      </c>
      <c r="U17" s="196">
        <v>311</v>
      </c>
      <c r="V17" s="196">
        <v>395</v>
      </c>
      <c r="W17" s="196">
        <v>21</v>
      </c>
      <c r="X17" s="202">
        <v>217</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0</v>
      </c>
      <c r="AN17" s="202">
        <v>1</v>
      </c>
      <c r="AO17" s="283">
        <v>2</v>
      </c>
      <c r="AP17" s="168">
        <v>2</v>
      </c>
      <c r="AQ17" s="168">
        <v>2</v>
      </c>
      <c r="AR17" s="168">
        <v>2</v>
      </c>
      <c r="AS17" s="381" t="s">
        <v>650</v>
      </c>
      <c r="AT17" s="216"/>
      <c r="AU17" s="215"/>
      <c r="AV17" s="216"/>
      <c r="AW17" s="215"/>
      <c r="AX17" s="216"/>
      <c r="AY17" s="136">
        <f t="shared" si="10"/>
        <v>342</v>
      </c>
      <c r="AZ17" s="137">
        <f t="shared" si="10"/>
        <v>358</v>
      </c>
      <c r="BA17" s="137">
        <f t="shared" si="10"/>
        <v>311</v>
      </c>
      <c r="BB17" s="137">
        <f t="shared" si="10"/>
        <v>395</v>
      </c>
      <c r="BC17" s="135">
        <f>IF(ISNUMBER(W17),W17," - ")</f>
        <v>21</v>
      </c>
      <c r="BD17" s="136">
        <f t="shared" ref="BD17:BD22" si="12">IF(ISNUMBER(BA17/AZ17),BA17/AZ17," - ")</f>
        <v>0.86871508379888274</v>
      </c>
      <c r="BE17" s="137">
        <f t="shared" ref="BE17:BE22" si="13">IF(ISNUMBER(BB17/BA17),BB17/BA17, " - ")</f>
        <v>1.270096463022508</v>
      </c>
      <c r="BF17" s="137">
        <f t="shared" ref="BF17:BF22" si="14">IF(ISNUMBER(BC17/BA17),BC17/BA17, " - ")</f>
        <v>6.7524115755627015E-2</v>
      </c>
      <c r="BG17" s="209">
        <f t="shared" si="11"/>
        <v>2.2508038585209005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66</v>
      </c>
      <c r="J18" s="196">
        <v>41</v>
      </c>
      <c r="K18" s="196">
        <v>28</v>
      </c>
      <c r="L18" s="196">
        <v>79</v>
      </c>
      <c r="M18" s="196">
        <v>0</v>
      </c>
      <c r="N18" s="196">
        <v>30</v>
      </c>
      <c r="O18" s="196">
        <v>0</v>
      </c>
      <c r="P18" s="196">
        <v>0</v>
      </c>
      <c r="Q18" s="196">
        <v>0</v>
      </c>
      <c r="R18" s="196">
        <v>0</v>
      </c>
      <c r="S18" s="196">
        <v>48</v>
      </c>
      <c r="T18" s="196">
        <v>28</v>
      </c>
      <c r="U18" s="196">
        <v>16</v>
      </c>
      <c r="V18" s="196">
        <v>60</v>
      </c>
      <c r="W18" s="196">
        <v>0</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48</v>
      </c>
      <c r="AZ18" s="139">
        <f t="shared" si="15"/>
        <v>28</v>
      </c>
      <c r="BA18" s="139">
        <f t="shared" si="15"/>
        <v>16</v>
      </c>
      <c r="BB18" s="139">
        <f t="shared" si="15"/>
        <v>60</v>
      </c>
      <c r="BC18" s="135">
        <f>IF(ISNUMBER(W18),W18," - ")</f>
        <v>0</v>
      </c>
      <c r="BD18" s="136">
        <f>IF(ISNUMBER(BA18/AZ18),BA18/AZ18," - ")</f>
        <v>0.5714285714285714</v>
      </c>
      <c r="BE18" s="137">
        <f>IF(ISNUMBER(BB18/BA18),BB18/BA18, " - ")</f>
        <v>3.75</v>
      </c>
      <c r="BF18" s="137">
        <f>IF(ISNUMBER(BC18/BA18),BC18/BA18, " - ")</f>
        <v>0</v>
      </c>
      <c r="BG18" s="209">
        <f>IF(ISNUMBER((AY18+AZ18)/BA18),(AY18+AZ18)/BA18," - ")</f>
        <v>4.75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420</v>
      </c>
      <c r="J23" s="197">
        <f t="shared" si="21"/>
        <v>357</v>
      </c>
      <c r="K23" s="197">
        <f t="shared" si="21"/>
        <v>316</v>
      </c>
      <c r="L23" s="197">
        <f t="shared" si="21"/>
        <v>462</v>
      </c>
      <c r="M23" s="197">
        <f t="shared" si="21"/>
        <v>28</v>
      </c>
      <c r="N23" s="197">
        <f t="shared" si="21"/>
        <v>229</v>
      </c>
      <c r="O23" s="197">
        <f t="shared" si="21"/>
        <v>2</v>
      </c>
      <c r="P23" s="197">
        <f t="shared" si="21"/>
        <v>8</v>
      </c>
      <c r="Q23" s="197">
        <f t="shared" si="21"/>
        <v>4</v>
      </c>
      <c r="R23" s="197">
        <f t="shared" si="21"/>
        <v>45</v>
      </c>
      <c r="S23" s="197">
        <f t="shared" si="21"/>
        <v>390</v>
      </c>
      <c r="T23" s="197">
        <f t="shared" si="21"/>
        <v>386</v>
      </c>
      <c r="U23" s="197">
        <f t="shared" si="21"/>
        <v>327</v>
      </c>
      <c r="V23" s="197">
        <f t="shared" si="21"/>
        <v>455</v>
      </c>
      <c r="W23" s="197">
        <f t="shared" si="21"/>
        <v>21</v>
      </c>
      <c r="X23" s="197">
        <f t="shared" si="21"/>
        <v>234</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390</v>
      </c>
      <c r="AZ23" s="197">
        <f>SUBTOTAL(9,AZ15:AZ22)</f>
        <v>386</v>
      </c>
      <c r="BA23" s="197">
        <f>SUBTOTAL(9,BA15:BA22)</f>
        <v>327</v>
      </c>
      <c r="BB23" s="197">
        <f>SUBTOTAL(9,BB15:BB22)</f>
        <v>455</v>
      </c>
      <c r="BC23" s="197">
        <f>SUBTOTAL(9,BC15:BC22)</f>
        <v>21</v>
      </c>
      <c r="BD23" s="219">
        <f>IF(ISNUMBER(BA23/AZ23),BA23/AZ23," - ")</f>
        <v>0.84715025906735753</v>
      </c>
      <c r="BE23" s="220">
        <f>IF(ISNUMBER(BB23/BA23),BB23/BA23, " - ")</f>
        <v>1.3914373088685015</v>
      </c>
      <c r="BF23" s="220">
        <f>IF(ISNUMBER(BC23/BA23),BC23/BA23, " - ")</f>
        <v>6.4220183486238536E-2</v>
      </c>
      <c r="BG23" s="221">
        <f>IF(ISNUMBER((AY23+AZ23)/BA23),(AY23+AZ23)/BA23," - ")</f>
        <v>2.3730886850152904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1241</v>
      </c>
      <c r="J31" s="144">
        <f t="shared" si="36"/>
        <v>635</v>
      </c>
      <c r="K31" s="144">
        <f t="shared" si="36"/>
        <v>472</v>
      </c>
      <c r="L31" s="144">
        <f t="shared" si="36"/>
        <v>1405</v>
      </c>
      <c r="M31" s="144">
        <f t="shared" si="36"/>
        <v>59</v>
      </c>
      <c r="N31" s="144">
        <f t="shared" si="36"/>
        <v>318</v>
      </c>
      <c r="O31" s="144">
        <f t="shared" si="36"/>
        <v>68</v>
      </c>
      <c r="P31" s="144">
        <f t="shared" si="36"/>
        <v>73</v>
      </c>
      <c r="Q31" s="144">
        <f t="shared" si="36"/>
        <v>26</v>
      </c>
      <c r="R31" s="144">
        <f t="shared" si="36"/>
        <v>1507</v>
      </c>
      <c r="S31" s="144">
        <f t="shared" si="36"/>
        <v>1090</v>
      </c>
      <c r="T31" s="144">
        <f t="shared" si="36"/>
        <v>584</v>
      </c>
      <c r="U31" s="144">
        <f t="shared" si="36"/>
        <v>537</v>
      </c>
      <c r="V31" s="144">
        <f t="shared" si="36"/>
        <v>1143</v>
      </c>
      <c r="W31" s="144">
        <f t="shared" si="36"/>
        <v>66</v>
      </c>
      <c r="X31" s="144">
        <f t="shared" si="36"/>
        <v>310</v>
      </c>
      <c r="Y31" s="144">
        <f t="shared" si="36"/>
        <v>39</v>
      </c>
      <c r="Z31" s="144">
        <f t="shared" si="36"/>
        <v>27</v>
      </c>
      <c r="AA31" s="144">
        <f t="shared" si="36"/>
        <v>13</v>
      </c>
      <c r="AB31" s="144">
        <f t="shared" si="36"/>
        <v>53</v>
      </c>
      <c r="AC31" s="144">
        <f t="shared" si="36"/>
        <v>1</v>
      </c>
      <c r="AD31" s="144">
        <f t="shared" si="36"/>
        <v>0</v>
      </c>
      <c r="AE31" s="144">
        <f t="shared" si="36"/>
        <v>0</v>
      </c>
      <c r="AF31" s="144">
        <f t="shared" si="36"/>
        <v>1</v>
      </c>
      <c r="AG31" s="144">
        <f t="shared" si="36"/>
        <v>38</v>
      </c>
      <c r="AH31" s="144">
        <f t="shared" si="36"/>
        <v>32</v>
      </c>
      <c r="AI31" s="144">
        <f t="shared" si="36"/>
        <v>29</v>
      </c>
      <c r="AJ31" s="144">
        <f t="shared" si="36"/>
        <v>41</v>
      </c>
      <c r="AK31" s="144">
        <f t="shared" si="36"/>
        <v>1</v>
      </c>
      <c r="AL31" s="144">
        <f t="shared" si="36"/>
        <v>0</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1128</v>
      </c>
      <c r="AZ31" s="144">
        <f>SUBTOTAL(9,AZ9:AZ30)</f>
        <v>616</v>
      </c>
      <c r="BA31" s="144">
        <f>SUBTOTAL(9,BA9:BA30)</f>
        <v>566</v>
      </c>
      <c r="BB31" s="144">
        <f>SUBTOTAL(9,BB9:BB30)</f>
        <v>1184</v>
      </c>
      <c r="BC31" s="145">
        <f>SUBTOTAL(9,BC9:BC30)</f>
        <v>98</v>
      </c>
      <c r="BD31" s="227">
        <f>IF(ISNUMBER(BA31/AZ31),BA31/AZ31," - ")</f>
        <v>0.91883116883116878</v>
      </c>
      <c r="BE31" s="224">
        <f>IF(ISNUMBER(BB31/BA31),BB31/BA31, " - ")</f>
        <v>2.0918727915194348</v>
      </c>
      <c r="BF31" s="224">
        <f>IF(ISNUMBER(BC31/BA31),BC31/BA31, " - ")</f>
        <v>0.17314487632508835</v>
      </c>
      <c r="BG31" s="145">
        <f>IF(ISNUMBER((AY31+AZ31)/BA31),(AY31+AZ31)/BA31," - ")</f>
        <v>3.0812720848056538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DxrslP5OFthgIXEC29ysAdQYjyLLP+gt6zlzc4sSmGv5LZ1B0hEAly52M/Z9J6uUlpAixagcsD7o7C++x3kQ==" saltValue="VOpdOZMnZp1nCVUCN+4R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a7nLQgEko/5bZ558dJmBpO/SkspnXXvlPrwMC/eLgj5jdhaPyiTHNLIejafMQxOMBgMe+i3cr+SibP83mDBQ==" saltValue="bMEUUS9cKyJnxj2aXm1U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VILLARROBLEDO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1462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0.5544554455445545</v>
      </c>
      <c r="BH12" s="764">
        <f>IF(ISNUMBER(((IF(J_V="SI",Datos!L12/Datos!K12,(Datos!L12+Datos!AB12)/(Datos!K12+Datos!AA12)))*11)/factor_trimestre),((IF(J_V="SI",Datos!L12/Datos!K12,(Datos!L12+Datos!AB12)/(Datos!K12+Datos!AA12)))*11)/factor_trimestre," - ")</f>
        <v>11.773809523809524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3.0303030303030304E-2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22</v>
      </c>
      <c r="AD14" s="1198">
        <f t="shared" si="2"/>
        <v>0</v>
      </c>
      <c r="AE14" s="1198">
        <f t="shared" si="2"/>
        <v>0</v>
      </c>
      <c r="AF14" s="1198">
        <f t="shared" si="2"/>
        <v>7</v>
      </c>
      <c r="AG14" s="1198">
        <f t="shared" si="2"/>
        <v>0</v>
      </c>
      <c r="AH14" s="1198">
        <f t="shared" si="2"/>
        <v>53</v>
      </c>
      <c r="AI14" s="1198">
        <f t="shared" si="2"/>
        <v>0</v>
      </c>
      <c r="AJ14" s="1198">
        <f t="shared" si="2"/>
        <v>0</v>
      </c>
      <c r="AK14" s="1198">
        <f t="shared" si="2"/>
        <v>0</v>
      </c>
      <c r="AL14" s="1198">
        <f t="shared" si="2"/>
        <v>0</v>
      </c>
      <c r="AM14" s="1198">
        <f t="shared" si="2"/>
        <v>1462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89</v>
      </c>
      <c r="BE14" s="1198">
        <f t="shared" si="2"/>
        <v>0</v>
      </c>
      <c r="BF14" s="1198">
        <f t="shared" si="2"/>
        <v>0</v>
      </c>
      <c r="BG14" s="1198">
        <f>IF(ISNUMBER(Datos!K14/Datos!J14),Datos!K14/Datos!J14," - ")</f>
        <v>0.5611510791366906</v>
      </c>
      <c r="BH14" s="1202">
        <f>IF(ISNUMBER(((Datos!L14/Datos!K14)*11)/factor_trimestre),((Datos!L14/Datos!K14)*11)/factor_trimestre," - ")</f>
        <v>12.089743589743589</v>
      </c>
      <c r="BI14" s="1198">
        <f>IF(ISNUMBER('Resol  Asuntos'!D14/NºAsuntos!G14),'Resol  Asuntos'!D14/NºAsuntos!G14," - ")</f>
        <v>0.18343195266272189</v>
      </c>
      <c r="BJ14" s="1198" t="str">
        <f>IF(ISNUMBER(Datos!CI14/Datos!CJ14),Datos!CI14/Datos!CJ14," - ")</f>
        <v xml:space="preserve"> - </v>
      </c>
      <c r="BK14" s="1198">
        <f>SUBTOTAL(9,BK8:BK13)</f>
        <v>0</v>
      </c>
      <c r="BL14" s="1198">
        <f>IF(ISNUMBER((I14-AB14+L14)/(F14)),(I14-AB14+L14)/(F14)," - ")</f>
        <v>-0.16666666666666666</v>
      </c>
      <c r="BM14" s="1203">
        <f>SUBTOTAL(9,BM9:BM13)</f>
        <v>3.0303030303030304E-2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355</v>
      </c>
      <c r="G17" s="743">
        <f>IF(ISNUMBER(IF(D_I="SI",Datos!I17,Datos!I17+Datos!AC17)),IF(D_I="SI",Datos!I17,Datos!I17+Datos!AC17)," - ")</f>
        <v>354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288</v>
      </c>
      <c r="AC17" s="240">
        <f>IF(ISNUMBER(Datos!Q17),Datos!Q17," - ")</f>
        <v>4</v>
      </c>
      <c r="AD17" s="374"/>
      <c r="AE17" s="562"/>
      <c r="AF17" s="741">
        <f>IF(ISNUMBER(IF(D_I="SI",Datos!L17,Datos!L17+Datos!AF17)),IF(D_I="SI",Datos!L17,Datos!L17+Datos!AF17)," - ")</f>
        <v>383</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0.91139240506329111</v>
      </c>
      <c r="BH17" s="764">
        <f>IF(ISNUMBER(((IF(D_I="SI",Datos!L17/Datos!K17,(Datos!L17+Datos!AF17)/(Datos!K17+Datos!AE17)))*11)/factor_trimestre),((IF(D_I="SI",Datos!L17/Datos!K17,(Datos!L17+Datos!AF17)/(Datos!K17+Datos!AE17)))*11)/factor_trimestre," - ")</f>
        <v>2.6597222222222223</v>
      </c>
      <c r="BI17" s="266">
        <f>IF(ISNUMBER('Resol  Asuntos'!D17/NºAsuntos!G17),'Resol  Asuntos'!D17/NºAsuntos!G17," - ")</f>
        <v>9.7222222222222224E-2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79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0.68292682926829273</v>
      </c>
      <c r="BH18" s="764">
        <f>IF(ISNUMBER(((IF(D_I="SI",Datos!L18/Datos!K18,(Datos!L18+Datos!AF18)/(Datos!K18+Datos!AE18)))*11)/factor_trimestre),((IF(D_I="SI",Datos!L18/Datos!K18,(Datos!L18+Datos!AF18)/(Datos!K18+Datos!AE18)))*11)/factor_trimestre," - ")</f>
        <v>5.6428571428571432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355</v>
      </c>
      <c r="G23" s="1197">
        <f>SUBTOTAL(9,G16:G22)</f>
        <v>420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316</v>
      </c>
      <c r="AC23" s="1198">
        <f t="shared" si="5"/>
        <v>4</v>
      </c>
      <c r="AD23" s="1198">
        <f t="shared" si="5"/>
        <v>0</v>
      </c>
      <c r="AE23" s="1198">
        <f t="shared" si="5"/>
        <v>0</v>
      </c>
      <c r="AF23" s="1198">
        <f t="shared" si="5"/>
        <v>462</v>
      </c>
      <c r="AG23" s="1198">
        <f t="shared" si="5"/>
        <v>0</v>
      </c>
      <c r="AH23" s="1198">
        <f t="shared" si="5"/>
        <v>0</v>
      </c>
      <c r="AI23" s="1198">
        <f t="shared" si="5"/>
        <v>0</v>
      </c>
      <c r="AJ23" s="1198">
        <f t="shared" si="5"/>
        <v>0</v>
      </c>
      <c r="AK23" s="1198">
        <f t="shared" si="5"/>
        <v>0</v>
      </c>
      <c r="AL23" s="1198">
        <f t="shared" si="5"/>
        <v>0</v>
      </c>
      <c r="AM23" s="1198">
        <f t="shared" si="5"/>
        <v>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229</v>
      </c>
      <c r="BE23" s="1198">
        <f t="shared" si="5"/>
        <v>0</v>
      </c>
      <c r="BF23" s="1198">
        <f t="shared" si="5"/>
        <v>0</v>
      </c>
      <c r="BG23" s="1198">
        <f>IF(ISNUMBER(Datos!K23/Datos!J23),Datos!K23/Datos!J23," - ")</f>
        <v>0.88515406162464982</v>
      </c>
      <c r="BH23" s="1202">
        <f>IF(ISNUMBER(((Datos!L23/Datos!K23)*11)/factor_trimestre),((Datos!L23/Datos!K23)*11)/factor_trimestre," - ")</f>
        <v>2.9240506329113924</v>
      </c>
      <c r="BI23" s="1198">
        <f>SUBTOTAL(9,BI16:BI22)</f>
        <v>9.7222222222222224E-2</v>
      </c>
      <c r="BJ23" s="1198">
        <f>SUBTOTAL(9,BJ16:BJ22)</f>
        <v>0</v>
      </c>
      <c r="BK23" s="1198">
        <f>SUBTOTAL(9,BK16:BK22)</f>
        <v>0</v>
      </c>
      <c r="BL23" s="1198">
        <f>IF(ISNUMBER((I23-AB23+L23)/(F23)),(I23-AB23+L23)/(F23)," - ")</f>
        <v>-0.89014084507042257</v>
      </c>
      <c r="BM23" s="1205">
        <f>IF(ISNUMBER((Datos!P23-Datos!Q23)/(Datos!R23-Datos!P23+Datos!Q23)),(Datos!P23-Datos!Q23)/(Datos!R23-Datos!P23+Datos!Q23)," - ")</f>
        <v>9.7560975609756101E-2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361</v>
      </c>
      <c r="G31" s="1117">
        <f t="shared" si="18"/>
        <v>426</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317</v>
      </c>
      <c r="AC31" s="1118">
        <f t="shared" si="19"/>
        <v>26</v>
      </c>
      <c r="AD31" s="1118">
        <f t="shared" si="19"/>
        <v>0</v>
      </c>
      <c r="AE31" s="1118">
        <f t="shared" si="19"/>
        <v>0</v>
      </c>
      <c r="AF31" s="1125">
        <f t="shared" si="19"/>
        <v>469</v>
      </c>
      <c r="AG31" s="1125">
        <f t="shared" si="19"/>
        <v>0</v>
      </c>
      <c r="AH31" s="1125">
        <f t="shared" si="19"/>
        <v>53</v>
      </c>
      <c r="AI31" s="1125">
        <f t="shared" si="19"/>
        <v>0</v>
      </c>
      <c r="AJ31" s="1118">
        <f t="shared" si="19"/>
        <v>0</v>
      </c>
      <c r="AK31" s="1125">
        <f t="shared" si="19"/>
        <v>0</v>
      </c>
      <c r="AL31" s="1125">
        <f t="shared" si="19"/>
        <v>0</v>
      </c>
      <c r="AM31" s="1125">
        <f t="shared" si="19"/>
        <v>1507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318</v>
      </c>
      <c r="BE31" s="1117">
        <f t="shared" si="19"/>
        <v>0</v>
      </c>
      <c r="BF31" s="1127">
        <f t="shared" si="19"/>
        <v>0</v>
      </c>
      <c r="BG31" s="1223">
        <f>IF(ISNUMBER(Datos!K31/Datos!J31),Datos!K31/Datos!J31," - ")</f>
        <v>0.74330708661417322</v>
      </c>
      <c r="BH31" s="1223">
        <f>IF(ISNUMBER(((Datos!L31/Datos!K31)*11)/factor_trimestre),((Datos!L31/Datos!K31)*11)/factor_trimestre," - ")</f>
        <v>5.953389830508474</v>
      </c>
      <c r="BI31" s="1103">
        <f>IF(ISNUMBER(Datos!J31/Datos!I31),Datos!J31/Datos!I31," - ")</f>
        <v>0.5116841257050766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-0.87811634349030476</v>
      </c>
      <c r="BM31" s="1188">
        <f>IF(ISNUMBER((Datos!P31-Datos!Q31+R31)/(Datos!R31-Datos!P31+Datos!Q31-R31)),(Datos!P31-Datos!Q31+R31)/(Datos!R31-Datos!P31+Datos!Q31-R31)," - ")</f>
        <v>3.2191780821917808E-2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121.71428571428571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181.79182233166227</v>
      </c>
      <c r="G33" s="674">
        <f>IF(ISNUMBER(STDEV(G8:G30)),STDEV(G8:G30),"-")</f>
        <v>183.68606759515384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145.00788155919565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15.809129369720884</v>
      </c>
      <c r="BD33" s="673"/>
      <c r="BE33" s="673">
        <f>IF(ISNUMBER(STDEV(BE8:BE30)),STDEV(BE8:BE30),"-")</f>
        <v>0</v>
      </c>
      <c r="BF33" s="678">
        <f>IF(ISNUMBER(STDEV(BF8:BF30)),STDEV(BF8:BF30),"-")</f>
        <v>0</v>
      </c>
      <c r="BG33" s="1052">
        <f>IF(ISNUMBER(STDEV(BG8:BG30)),STDEV(BG8:BG30),"-")</f>
        <v>0.17770076051066497</v>
      </c>
      <c r="BH33" s="1058">
        <f>IF(ISNUMBER(STDEV(BH8:BH30)),STDEV(BH8:BH30),"-")</f>
        <v>5.032087219417317</v>
      </c>
      <c r="BI33" s="273">
        <f>IF(ISNUMBER(STDEV(BI8:BI30)),STDEV(BI8:BI30),"-")</f>
        <v>7.4953228466469124E-2</v>
      </c>
      <c r="BJ33" s="244" t="str">
        <f>IF(ISNUMBER(BL33/BM33),BL33/BM33," - ")</f>
        <v xml:space="preserve"> - </v>
      </c>
      <c r="BK33" s="709"/>
      <c r="BL33" s="681">
        <f>IF(ISNUMBER(STDEV(BL8:BL30)),STDEV(BL8:BL30),"-")</f>
        <v>0.51157349756266191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fkNMV5aqKRtYCA/uSsTcrcPSMKUtURXvk+nybP0R2ccr/S2WkhtKjUd4a8jv43CKP0b/gLHmn9FZua2DJnfjg==" saltValue="IDeRsMje7cpTKDqTHKqj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VILLARROBLEDO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1462</v>
      </c>
      <c r="AF12" s="693" t="str">
        <f>IF(ISNUMBER(Datos!BV12),Datos!BV12," - ")</f>
        <v xml:space="preserve"> - </v>
      </c>
      <c r="AG12" s="552" t="str">
        <f>IF(ISNUMBER(Datos!DV12),Datos!DV12," - ")</f>
        <v xml:space="preserve"> - </v>
      </c>
      <c r="AH12" s="553"/>
      <c r="AI12" s="554"/>
      <c r="AJ12" s="552">
        <f>IF(ISNUMBER(Datos!M12),Datos!M12," - ")</f>
        <v>31</v>
      </c>
      <c r="AK12" s="693">
        <f>IF(ISNUMBER(Datos!N12),Datos!N12," - ")</f>
        <v>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11.773809523809524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3.0303030303030304E-2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22</v>
      </c>
      <c r="AA14" s="1199">
        <f t="shared" si="3"/>
        <v>7</v>
      </c>
      <c r="AB14" s="1199">
        <f t="shared" si="3"/>
        <v>0</v>
      </c>
      <c r="AC14" s="1199">
        <f t="shared" si="3"/>
        <v>0</v>
      </c>
      <c r="AD14" s="1199">
        <f t="shared" si="3"/>
        <v>0</v>
      </c>
      <c r="AE14" s="1199">
        <f t="shared" si="3"/>
        <v>1462</v>
      </c>
      <c r="AF14" s="1211">
        <f t="shared" si="3"/>
        <v>0</v>
      </c>
      <c r="AG14" s="1211">
        <f t="shared" si="3"/>
        <v>0</v>
      </c>
      <c r="AH14" s="1211">
        <f t="shared" si="3"/>
        <v>0</v>
      </c>
      <c r="AI14" s="1211">
        <f t="shared" si="3"/>
        <v>0</v>
      </c>
      <c r="AJ14" s="1211">
        <f t="shared" si="3"/>
        <v>31</v>
      </c>
      <c r="AK14" s="1211">
        <f t="shared" si="3"/>
        <v>89</v>
      </c>
      <c r="AL14" s="1211">
        <f t="shared" si="3"/>
        <v>0</v>
      </c>
      <c r="AM14" s="1211">
        <f t="shared" si="3"/>
        <v>0</v>
      </c>
      <c r="AN14" s="1211">
        <f t="shared" si="3"/>
        <v>0</v>
      </c>
      <c r="AO14" s="1203">
        <f>IF(ISNUMBER(((NºAsuntos!I14/NºAsuntos!G14)*11)/factor_trimestre),((NºAsuntos!I14/NºAsuntos!G14)*11)/factor_trimestre," - ")</f>
        <v>11.786982248520708</v>
      </c>
      <c r="AP14" s="1213" t="str">
        <f>IF(ISNUMBER(Datos!CI14/Datos!CJ14),Datos!CI14/Datos!CJ14," - ")</f>
        <v xml:space="preserve"> - </v>
      </c>
      <c r="AQ14" s="1236">
        <f t="shared" ref="AQ14:AV14" si="4">SUBTOTAL(9,AQ9:AQ13)</f>
        <v>0</v>
      </c>
      <c r="AR14" s="1236">
        <f t="shared" si="4"/>
        <v>3.0303030303030304E-2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355</v>
      </c>
      <c r="G17" s="552">
        <f>IF(ISNUMBER(IF(D_I="SI",Datos!I17,Datos!I17+Datos!AC17)),IF(D_I="SI",Datos!I17,Datos!I17+Datos!AC17)," - ")</f>
        <v>354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288</v>
      </c>
      <c r="Z17" s="805">
        <f>IF(ISNUMBER(Datos!Q17),Datos!Q17," - ")</f>
        <v>4</v>
      </c>
      <c r="AA17" s="551">
        <f>IF(ISNUMBER(IF(D_I="SI",Datos!L17,Datos!L17+Datos!AF17)),IF(D_I="SI",Datos!L17,Datos!L17+Datos!AF17)," - ")</f>
        <v>383</v>
      </c>
      <c r="AB17" s="549"/>
      <c r="AC17" s="549"/>
      <c r="AD17" s="563"/>
      <c r="AE17" s="563">
        <f>IF(ISNUMBER(Datos!R17),Datos!R17," - ")</f>
        <v>45</v>
      </c>
      <c r="AF17" s="693" t="str">
        <f>IF(ISNUMBER(Datos!BV17),Datos!BV17," - ")</f>
        <v xml:space="preserve"> - </v>
      </c>
      <c r="AG17" s="552"/>
      <c r="AH17" s="553"/>
      <c r="AI17" s="554"/>
      <c r="AJ17" s="552">
        <f>IF(ISNUMBER(Datos!M17),Datos!M17," - ")</f>
        <v>28</v>
      </c>
      <c r="AK17" s="693">
        <f>IF(ISNUMBER(Datos!N17),Datos!N17," - ")</f>
        <v>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2.6597222222222223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79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5.6428571428571432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355</v>
      </c>
      <c r="G23" s="1197">
        <f>SUBTOTAL(9,G16:G22)</f>
        <v>420</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316</v>
      </c>
      <c r="Z23" s="1240">
        <f t="shared" si="6"/>
        <v>4</v>
      </c>
      <c r="AA23" s="1240">
        <f t="shared" si="6"/>
        <v>462</v>
      </c>
      <c r="AB23" s="1240">
        <f t="shared" si="6"/>
        <v>0</v>
      </c>
      <c r="AC23" s="1240">
        <f t="shared" si="6"/>
        <v>0</v>
      </c>
      <c r="AD23" s="1240">
        <f t="shared" si="6"/>
        <v>0</v>
      </c>
      <c r="AE23" s="1240">
        <f t="shared" si="6"/>
        <v>45</v>
      </c>
      <c r="AF23" s="1240">
        <f t="shared" si="6"/>
        <v>0</v>
      </c>
      <c r="AG23" s="1240">
        <f t="shared" si="6"/>
        <v>0</v>
      </c>
      <c r="AH23" s="1240">
        <f t="shared" si="6"/>
        <v>0</v>
      </c>
      <c r="AI23" s="1240">
        <f t="shared" si="6"/>
        <v>0</v>
      </c>
      <c r="AJ23" s="1240">
        <f t="shared" si="6"/>
        <v>28</v>
      </c>
      <c r="AK23" s="1240">
        <f t="shared" si="6"/>
        <v>229</v>
      </c>
      <c r="AL23" s="1240">
        <f t="shared" si="6"/>
        <v>0</v>
      </c>
      <c r="AM23" s="1240">
        <f t="shared" si="6"/>
        <v>0</v>
      </c>
      <c r="AN23" s="1240">
        <f t="shared" si="6"/>
        <v>0</v>
      </c>
      <c r="AO23" s="1242">
        <f>IF(ISNUMBER(((NºAsuntos!I23/NºAsuntos!G23)*11)/factor_trimestre),((NºAsuntos!I23/NºAsuntos!G23)*11)/factor_trimestre," - ")</f>
        <v>2.9240506329113924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361</v>
      </c>
      <c r="G31" s="1117">
        <f t="shared" si="12"/>
        <v>426</v>
      </c>
      <c r="H31" s="1118">
        <f t="shared" si="12"/>
        <v>0</v>
      </c>
      <c r="I31" s="1117">
        <f t="shared" si="12"/>
        <v>0</v>
      </c>
      <c r="J31" s="1119">
        <f t="shared" si="12"/>
        <v>0</v>
      </c>
      <c r="K31" s="1117">
        <f t="shared" si="12"/>
        <v>0</v>
      </c>
      <c r="L31" s="1120">
        <f t="shared" si="12"/>
        <v>0</v>
      </c>
      <c r="M31" s="1117">
        <f t="shared" si="12"/>
        <v>0</v>
      </c>
      <c r="N31" s="1118">
        <f t="shared" si="12"/>
        <v>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317</v>
      </c>
      <c r="Z31" s="1124">
        <f t="shared" si="13"/>
        <v>26</v>
      </c>
      <c r="AA31" s="1125">
        <f t="shared" si="13"/>
        <v>469</v>
      </c>
      <c r="AB31" s="1125">
        <f t="shared" si="13"/>
        <v>0</v>
      </c>
      <c r="AC31" s="1125">
        <f t="shared" si="13"/>
        <v>0</v>
      </c>
      <c r="AD31" s="1126">
        <f t="shared" si="13"/>
        <v>0</v>
      </c>
      <c r="AE31" s="1126">
        <f t="shared" si="13"/>
        <v>1507</v>
      </c>
      <c r="AF31" s="1127">
        <f t="shared" si="13"/>
        <v>0</v>
      </c>
      <c r="AG31" s="1128">
        <f t="shared" si="13"/>
        <v>0</v>
      </c>
      <c r="AH31" s="1129">
        <f t="shared" si="13"/>
        <v>0</v>
      </c>
      <c r="AI31" s="1127">
        <f t="shared" si="13"/>
        <v>0</v>
      </c>
      <c r="AJ31" s="1117">
        <f t="shared" si="13"/>
        <v>59</v>
      </c>
      <c r="AK31" s="1117">
        <f t="shared" si="13"/>
        <v>318</v>
      </c>
      <c r="AL31" s="1117">
        <f t="shared" si="13"/>
        <v>0</v>
      </c>
      <c r="AM31" s="1130">
        <f t="shared" si="13"/>
        <v>0</v>
      </c>
      <c r="AN31" s="1120">
        <f>IF(ISNUMBER(Datos!K31/Datos!J31),Datos!K31/Datos!J31," - ")</f>
        <v>0.74330708661417322</v>
      </c>
      <c r="AO31" s="1120">
        <f>IF(ISNUMBER(FIND("06",Criterios!A8,1)),(IF(ISNUMBER(((Datos!R31/Datos!Q31)*11)/factor_trimestre),((Datos!R31/Datos!Q31)*11)/factor_trimestre," - ")),(IF(ISNUMBER(((Datos!L31/Datos!K31)*11)/factor_trimestre),((Datos!L31/Datos!K31)*11)/factor_trimestre," - ")))</f>
        <v>5.953389830508474</v>
      </c>
      <c r="AP31" s="1131" t="str">
        <f>IF(ISNUMBER(Datos!CI31/Datos!CJ31),Datos!CI31/Datos!CJ31," - ")</f>
        <v xml:space="preserve"> - </v>
      </c>
      <c r="AQ31" s="1131">
        <f>IF(OR(ISNUMBER(FIND("01",Criterios!A8,1)),ISNUMBER(FIND("02",Criterios!A8,1)),ISNUMBER(FIND("03",Criterios!A8,1)),ISNUMBER(FIND("04",Criterios!A8,1))),(J31-Y31+K31)/(F31-K31),(I31-Y31+K31)/(F31-K31))</f>
        <v>-0.87811634349030476</v>
      </c>
      <c r="AR31" s="1131">
        <f>IF(ISNUMBER((Datos!P31-Datos!Q31+O31)/(Datos!R31-Datos!P31+Datos!Q31-O31)),(Datos!P31-Datos!Q31+O31)/(Datos!R31-Datos!P31+Datos!Q31-O31)," - ")</f>
        <v>3.2191780821917808E-2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121.71428571428571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181.79182233166227</v>
      </c>
      <c r="G33" s="674">
        <f>IF(ISNUMBER(STDEV(G8:G30)),STDEV(G8:G30),"-")</f>
        <v>183.68606759515384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15.809129369720884</v>
      </c>
      <c r="AK33" s="276"/>
      <c r="AL33" s="276">
        <f>IF(ISNUMBER(STDEV(AL8:AL30)),STDEV(AL8:AL30),"-")</f>
        <v>0</v>
      </c>
      <c r="AM33" s="278">
        <f>IF(ISNUMBER(STDEV(AM8:AM30)),STDEV(AM8:AM30),"-")</f>
        <v>0</v>
      </c>
      <c r="AN33" s="660">
        <f>IF(ISNUMBER(STDEV(AN8:AN30)),STDEV(AN8:AN30),"-")</f>
        <v>0</v>
      </c>
      <c r="AO33" s="661">
        <f>IF(ISNUMBER(STDEV(AO8:AO30)),STDEV(AO8:AO30),"-")</f>
        <v>4.9863711294273125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huX9LIMtIqv1HEfccdbHemc00pPG7pCCJHPyw/WDxnpxBIr/3LThSukVD4ZCDx3q+kqdQM7qCNYU9eSDT2kjw==" saltValue="EI98lmhPgiHKPNyBVCs3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F8jdDJae19Qt5NCK0GpyMILgTHyA1Nws7yA/grBmpyzLpQecc69dQiszLVJ/WF7Q41MbPBFdNH37/5vmrisFQ==" saltValue="mWW1NxSLZFoQw6BdvRDU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7PLWYbjloBYA8dhlmJOz5k8dxNpesHelohyecgU97ael0PyCLVmkXZ50imeDItcmwxairqSiHBlDZE8Co4Vg==" saltValue="6+0k3GttWKBkue3svXEd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VILLARROBLEDO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0.18343195266272189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0.12970597761410044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cs3WVi6FfhK59NS4+F0pRpavKGbjXd/1zx+wXAqt53yhh601bcjog9kX4b6qhlNDFBafzBmWeK7sbe0HyRziA==" saltValue="TJlrI85UmLPxX+pH2s6g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r7B9ATEzm35oDpflrRIa7Z3HjzWgImDzMWEBSztOq6b0Tu2oe70CcWct/UloF4sJcjQs78bWnOk66Ywpe8nmA==" saltValue="e9ijL+nKNM0gpbugfXCt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VILLARROBLEDO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854</v>
      </c>
      <c r="D12" s="452">
        <f>IF(ISNUMBER(C12/Datos!BH12),C12/Datos!BH12," - ")</f>
        <v>427</v>
      </c>
      <c r="E12" s="451">
        <f>IF(ISNUMBER(IF(J_V="SI",Datos!J12,Datos!J12+Datos!Z12)),IF(J_V="SI",Datos!J12,Datos!J12+Datos!Z12)," - ")</f>
        <v>303</v>
      </c>
      <c r="F12" s="452">
        <f>IF(ISNUMBER(E12/B12),E12/B12," - ")</f>
        <v>151.5</v>
      </c>
      <c r="G12" s="451">
        <f>IF(ISNUMBER(IF(J_V="SI",Datos!K12,Datos!K12+Datos!AA12)),IF(J_V="SI",Datos!K12,Datos!K12+Datos!AA12)," - ")</f>
        <v>168</v>
      </c>
      <c r="H12" s="452">
        <f>IF(ISNUMBER(G12/B12),G12/B12," - ")</f>
        <v>84</v>
      </c>
      <c r="I12" s="451">
        <f>IF(ISNUMBER(IF(J_V="SI",Datos!L12,Datos!L12+Datos!AB12)),IF(J_V="SI",Datos!L12,Datos!L12+Datos!AB12)," - ")</f>
        <v>989</v>
      </c>
      <c r="J12" s="452">
        <f>IF(ISNUMBER(I12/B12),I12/B12," - ")</f>
        <v>494.5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860</v>
      </c>
      <c r="D14" s="1147" t="str">
        <f>IF(ISNUMBER(C14/Datos!BI14),C14/Datos!BI14," - ")</f>
        <v xml:space="preserve"> - </v>
      </c>
      <c r="E14" s="1146">
        <f>SUBTOTAL(9,E8:E13)</f>
        <v>305</v>
      </c>
      <c r="F14" s="1147">
        <f>IF(ISNUMBER(E14/B14),E14/B14," - ")</f>
        <v>152.5</v>
      </c>
      <c r="G14" s="1146">
        <f>SUBTOTAL(9,G8:G13)</f>
        <v>169</v>
      </c>
      <c r="H14" s="1147">
        <f>IF(ISNUMBER(G14/B14),G14/B14," - ")</f>
        <v>84.5</v>
      </c>
      <c r="I14" s="1146">
        <f>SUBTOTAL(9,I8:I13)</f>
        <v>996</v>
      </c>
      <c r="J14" s="1147">
        <f>IF(ISNUMBER(I14/B14),I14/B14," - ")</f>
        <v>498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354</v>
      </c>
      <c r="D17" s="452">
        <f>IF(ISNUMBER(C17/Datos!BH17),C17/Datos!BH17," - ")</f>
        <v>177</v>
      </c>
      <c r="E17" s="451">
        <f>IF(ISNUMBER(IF(D_I="SI",Datos!J17,Datos!J17+Datos!AD17)),IF(D_I="SI",Datos!J17,Datos!J17+Datos!AD17)," - ")</f>
        <v>316</v>
      </c>
      <c r="F17" s="452">
        <f>IF(ISNUMBER(E17/B17),E17/B17," - ")</f>
        <v>158</v>
      </c>
      <c r="G17" s="451">
        <f>IF(ISNUMBER(IF(D_I="SI",Datos!K17,Datos!K17+Datos!AE17)),IF(D_I="SI",Datos!K17,Datos!K17+Datos!AE17)," - ")</f>
        <v>288</v>
      </c>
      <c r="H17" s="452">
        <f>IF(ISNUMBER(G17/B17),G17/B17," - ")</f>
        <v>144</v>
      </c>
      <c r="I17" s="451">
        <f>IF(ISNUMBER(IF(D_I="SI",Datos!L17,Datos!L17+Datos!AF17)),IF(D_I="SI",Datos!L17,Datos!L17+Datos!AF17)," - ")</f>
        <v>383</v>
      </c>
      <c r="J17" s="452">
        <f>IF(ISNUMBER(I17/B17),I17/B17," - ")</f>
        <v>191.5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66</v>
      </c>
      <c r="D18" s="452">
        <f>IF(ISNUMBER(C18/Datos!BH18),C18/Datos!BH18," - ")</f>
        <v>66</v>
      </c>
      <c r="E18" s="451">
        <f>IF(ISNUMBER(IF(D_I="SI",Datos!J18,Datos!J18+Datos!AD18)),IF(D_I="SI",Datos!J18,Datos!J18+Datos!AD18)," - ")</f>
        <v>41</v>
      </c>
      <c r="F18" s="452">
        <f>IF(ISNUMBER(E18/B18),E18/B18," - ")</f>
        <v>41</v>
      </c>
      <c r="G18" s="451">
        <f>IF(ISNUMBER(IF(D_I="SI",Datos!K18,Datos!K18+Datos!AE18)),IF(D_I="SI",Datos!K18,Datos!K18+Datos!AE18)," - ")</f>
        <v>28</v>
      </c>
      <c r="H18" s="452">
        <f>IF(ISNUMBER(G18/B18),G18/B18," - ")</f>
        <v>28</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420</v>
      </c>
      <c r="D23" s="1147" t="str">
        <f>IF(ISNUMBER(C23/Datos!BI23),C23/Datos!BI23," - ")</f>
        <v xml:space="preserve"> - </v>
      </c>
      <c r="E23" s="1146">
        <f>SUBTOTAL(9,E15:E22)</f>
        <v>357</v>
      </c>
      <c r="F23" s="1147">
        <f>IF(ISNUMBER(E23/B23),E23/B23," - ")</f>
        <v>178.5</v>
      </c>
      <c r="G23" s="1146">
        <f>SUBTOTAL(9,G15:G22)</f>
        <v>316</v>
      </c>
      <c r="H23" s="1147">
        <f>IF(ISNUMBER(G23/B23),G23/B23," - ")</f>
        <v>158</v>
      </c>
      <c r="I23" s="1146">
        <f>SUBTOTAL(9,I15:I22)</f>
        <v>462</v>
      </c>
      <c r="J23" s="1147">
        <f>IF(ISNUMBER(I23/B23),I23/B23," - ")</f>
        <v>231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1280</v>
      </c>
      <c r="D31" s="1085" t="str">
        <f>IF(ISNUMBER(C31/Datos!BI31),C31/Datos!BI31," - ")</f>
        <v xml:space="preserve"> - </v>
      </c>
      <c r="E31" s="1084">
        <f>SUBTOTAL(9,E9:E30)</f>
        <v>662</v>
      </c>
      <c r="F31" s="1085">
        <f>IF(ISNUMBER(E31/B31),E31/B31," - ")</f>
        <v>331</v>
      </c>
      <c r="G31" s="1084">
        <f>SUBTOTAL(9,G9:G30)</f>
        <v>485</v>
      </c>
      <c r="H31" s="1085">
        <f>IF(ISNUMBER(G31/B31),G31/B31," - ")</f>
        <v>242.5</v>
      </c>
      <c r="I31" s="1084">
        <f>SUBTOTAL(9,I9:I30)</f>
        <v>1458</v>
      </c>
      <c r="J31" s="1085">
        <f>IF(ISNUMBER(I31/B31),I31/B31," - ")</f>
        <v>729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K1kLUEgW3vE0iB5v8x/6wkTiJYA9XJXCypFYG8VTk/n+io02fNJ4avVlykXoOnZB+xykgwjk1uTy0g6Ju91tg==" saltValue="EhNVH3IT2s2a2xiFhu4K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VILLARROBLEDO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11.773809523809524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3.0303030303030304E-2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22</v>
      </c>
      <c r="AE14" s="1257">
        <f t="shared" si="1"/>
        <v>0</v>
      </c>
      <c r="AF14" s="1257">
        <f t="shared" si="1"/>
        <v>7</v>
      </c>
      <c r="AG14" s="1257">
        <f t="shared" si="1"/>
        <v>0</v>
      </c>
      <c r="AH14" s="1257">
        <f t="shared" si="1"/>
        <v>1462</v>
      </c>
      <c r="AI14" s="1257">
        <f t="shared" si="1"/>
        <v>0</v>
      </c>
      <c r="AJ14" s="1257">
        <f t="shared" si="1"/>
        <v>0</v>
      </c>
      <c r="AK14" s="1257">
        <f t="shared" si="1"/>
        <v>0</v>
      </c>
      <c r="AL14" s="1257">
        <f t="shared" si="1"/>
        <v>31</v>
      </c>
      <c r="AM14" s="1257">
        <f t="shared" si="1"/>
        <v>89</v>
      </c>
      <c r="AN14" s="1257">
        <f t="shared" si="1"/>
        <v>0</v>
      </c>
      <c r="AO14" s="1257">
        <f t="shared" si="1"/>
        <v>0</v>
      </c>
      <c r="AP14" s="1262">
        <f>IF(ISNUMBER(((Datos!L14/Datos!K14)*11)/factor_trimestre),((Datos!L14/Datos!K14)*11)/factor_trimestre," - ")</f>
        <v>12.089743589743589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3.0303030303030304E-2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2.9240506329113924</v>
      </c>
      <c r="AQ23" s="1262">
        <f>IF(ISNUMBER(((Datos!M23/Datos!L23)*11)/factor_trimestre),((Datos!M23/Datos!L23)*11)/factor_trimestre," - ")</f>
        <v>0.12121212121212123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9.7560975609756101E-2</v>
      </c>
      <c r="AW23" s="1265">
        <f>IF(ISNUMBER((Datos!Q23-Datos!R23)/(Datos!S23-Datos!Q23+Datos!R23)),(Datos!Q23-Datos!R23)/(Datos!S23-Datos!Q23+Datos!R23)," - ")</f>
        <v>-9.5127610208816701E-2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22</v>
      </c>
      <c r="AE31" s="1284">
        <f t="shared" si="9"/>
        <v>0</v>
      </c>
      <c r="AF31" s="1285">
        <f t="shared" si="9"/>
        <v>7</v>
      </c>
      <c r="AG31" s="1285">
        <f t="shared" si="9"/>
        <v>0</v>
      </c>
      <c r="AH31" s="1285">
        <f t="shared" si="9"/>
        <v>1462</v>
      </c>
      <c r="AI31" s="1285">
        <f t="shared" si="9"/>
        <v>0</v>
      </c>
      <c r="AJ31" s="1286">
        <f t="shared" si="9"/>
        <v>0</v>
      </c>
      <c r="AK31" s="1286">
        <f t="shared" si="9"/>
        <v>0</v>
      </c>
      <c r="AL31" s="1278">
        <f t="shared" si="9"/>
        <v>31</v>
      </c>
      <c r="AM31" s="1278">
        <f t="shared" si="9"/>
        <v>89</v>
      </c>
      <c r="AN31" s="1278">
        <f t="shared" si="9"/>
        <v>0</v>
      </c>
      <c r="AO31" s="1278">
        <f t="shared" si="9"/>
        <v>0</v>
      </c>
      <c r="AP31" s="1278">
        <f>IF(ISNUMBER(((Datos!L31/Datos!K31)*11)/factor_trimestre),((Datos!L31/Datos!K31)*11)/factor_trimestre," - ")</f>
        <v>5.953389830508474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3.2191780821917808E-2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4.9473025656368899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aZUs/Jvic+3u9qjUZQdILorH4tDjtbu+T7pKOfJjl0dOykHgAjBp1dID4K3tfITKwHntZoM7LW5X0GMMKcsHA==" saltValue="ThScR2NbX9l42EMtK/vh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VILLARROBLEDO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zF53D/A6irE5KWBdEjScIP5Q1JHK2MH6YNKYecbsRmW4ZkQHBKQ2Pheu+xeoY1t+0PAKmbmtLTHmo+Gm99pfQ==" saltValue="h0QLyNBBvIn8WTZtR4tc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VILLARROBLEDO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v>
      </c>
      <c r="E12" s="452">
        <f t="shared" si="0"/>
        <v>15.5</v>
      </c>
      <c r="F12" s="451">
        <f>IF(ISNUMBER(Datos!N12),Datos!N12," - ")</f>
        <v>88</v>
      </c>
      <c r="G12" s="452">
        <f t="shared" si="1"/>
        <v>44</v>
      </c>
      <c r="H12" s="451">
        <f>IF(ISNUMBER(Datos!O12),Datos!O12," - ")</f>
        <v>66</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31</v>
      </c>
      <c r="E14" s="1147">
        <f t="shared" si="0"/>
        <v>10.333333333333334</v>
      </c>
      <c r="F14" s="1146">
        <f>SUBTOTAL(9,F9:F13)</f>
        <v>89</v>
      </c>
      <c r="G14" s="1147">
        <f t="shared" si="1"/>
        <v>29.666666666666668</v>
      </c>
      <c r="H14" s="1146">
        <f>SUBTOTAL(9,H9:H13)</f>
        <v>66</v>
      </c>
      <c r="I14" s="1147">
        <f>IF(ISNUMBER(H14/B14),H14/B14," - ")</f>
        <v>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v>
      </c>
      <c r="E17" s="452">
        <f t="shared" si="3"/>
        <v>14</v>
      </c>
      <c r="F17" s="451">
        <f>IF(ISNUMBER(Datos!N17),Datos!N17," - ")</f>
        <v>199</v>
      </c>
      <c r="G17" s="452">
        <f t="shared" si="4"/>
        <v>99.5</v>
      </c>
      <c r="H17" s="451">
        <f>IF(ISNUMBER(Datos!O17),Datos!O17," - ")</f>
        <v>2</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229</v>
      </c>
      <c r="G23" s="1147">
        <f t="shared" si="4"/>
        <v>76.333333333333329</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59</v>
      </c>
      <c r="E31" s="1085">
        <f>IF(ISNUMBER(D31/B31),D31/B31," - ")</f>
        <v>29.5</v>
      </c>
      <c r="F31" s="1084">
        <f>SUBTOTAL(9,F8:F30)</f>
        <v>318</v>
      </c>
      <c r="G31" s="1085">
        <f>IF(ISNUMBER(F31/B31),F31/B31," - ")</f>
        <v>159</v>
      </c>
      <c r="H31" s="1084">
        <f>SUBTOTAL(9,H8:H30)</f>
        <v>68</v>
      </c>
      <c r="I31" s="1085">
        <f>IF(ISNUMBER(H31/B31),H31/B31," - ")</f>
        <v>34</v>
      </c>
    </row>
    <row r="34" spans="1:1">
      <c r="A34" s="439" t="str">
        <f>Criterios!A4</f>
        <v>Fecha Informe: 06 may. 2023</v>
      </c>
    </row>
    <row r="39" spans="1:1">
      <c r="A39" s="462"/>
    </row>
  </sheetData>
  <sheetProtection algorithmName="SHA-512" hashValue="pLauo0CJi5mFwHo6UkKsK+lgCGKsn1BHlXe5gbfXKpInTorl5C0GlPdCrDqO2smc1/SeTkU8iiQ+vcYXKdz5zg==" saltValue="MnHhky+dRXtl6XjA6rKW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VILLARROBLEDO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22</v>
      </c>
      <c r="D12" s="456">
        <f>IF(ISNUMBER(Datos!R12),Datos!R12," - ")</f>
        <v>1462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22</v>
      </c>
      <c r="D14" s="1148">
        <f>SUBTOTAL(9,D9:D13)</f>
        <v>1462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4</v>
      </c>
      <c r="D17" s="456">
        <f>IF(ISNUMBER(Datos!R17),Datos!R17," - ")</f>
        <v>45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4</v>
      </c>
      <c r="D23" s="1148">
        <f>SUBTOTAL(9,D16:D22)</f>
        <v>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v>
      </c>
      <c r="C31" s="1089">
        <f>SUBTOTAL(9,C8:C30)</f>
        <v>26</v>
      </c>
      <c r="D31" s="1090">
        <f>SUBTOTAL(9,D8:D30)</f>
        <v>1507</v>
      </c>
    </row>
    <row r="32" spans="1:4" ht="7.5" customHeight="1"/>
    <row r="33" spans="1:1" ht="6" customHeight="1"/>
    <row r="34" spans="1:1">
      <c r="A34" s="439" t="str">
        <f>Criterios!A4</f>
        <v>Fecha Informe: 06 may. 2023</v>
      </c>
    </row>
    <row r="39" spans="1:1">
      <c r="A39" s="462"/>
    </row>
  </sheetData>
  <sheetProtection algorithmName="SHA-512" hashValue="NQvUg4qXuWpEMUAjsoV6QoLDOh8d4UodZjLU6d52XcBDUmsFZq8QVMVyj7A3PoCsqrObEd2RV3OqkhmAWMsJ8g==" saltValue="R6OgQb3jAl8L4bUFfkiW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VILLARROBLEDO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1</v>
      </c>
      <c r="D10" s="515">
        <f>IF(ISNUMBER((Datos!K10-Datos!U10)/Datos!U10),(Datos!K10-Datos!U10)/Datos!U10," - ")</f>
        <v>0</v>
      </c>
      <c r="E10" s="515">
        <f>IF(ISNUMBER((Datos!L10-Datos!V10)/Datos!V10),(Datos!L10-Datos!V10)/Datos!V10," - ")</f>
        <v>-0.22222222222222221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-0.22222222222222221</v>
      </c>
      <c r="J10" s="521">
        <f>IF(ISNUMBER((('Resol  Asuntos'!D10/NºAsuntos!G10)-Datos!BF10)/Datos!BF10),(('Resol  Asuntos'!D10/NºAsuntos!G10)-Datos!BF10)/Datos!BF10," - ")</f>
        <v>-1</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0.17146776406035666</v>
      </c>
      <c r="C12" s="515">
        <f>IF(ISNUMBER(
   IF(J_V="SI",(Datos!J12-Datos!T12)/Datos!T12,(Datos!J12+Datos!Z12-(Datos!T12+Datos!AH12))/(Datos!T12+Datos!AH12))
     ),IF(J_V="SI",(Datos!J12-Datos!T12)/Datos!T12,(Datos!J12+Datos!Z12-(Datos!T12+Datos!AH12))/(Datos!T12+Datos!AH12))," - ")</f>
        <v>0.32314410480349343</v>
      </c>
      <c r="D12" s="515">
        <f>IF(ISNUMBER(
   IF(J_V="SI",(Datos!K12-Datos!U12)/Datos!U12,(Datos!K12+Datos!AA12-(Datos!U12+Datos!AI12))/(Datos!U12+Datos!AI12))
     ),IF(J_V="SI",(Datos!K12-Datos!U12)/Datos!U12,(Datos!K12+Datos!AA12-(Datos!U12+Datos!AI12))/(Datos!U12+Datos!AI12))," - ")</f>
        <v>-0.29411764705882354</v>
      </c>
      <c r="E12" s="515">
        <f>IF(ISNUMBER(
   IF(J_V="SI",(Datos!L12-Datos!V12)/Datos!V12,(Datos!L12+Datos!AB12-(Datos!V12+Datos!AJ12))/(Datos!V12+Datos!AJ12))
     ),IF(J_V="SI",(Datos!L12-Datos!V12)/Datos!V12,(Datos!L12+Datos!AB12-(Datos!V12+Datos!AJ12))/(Datos!V12+Datos!AJ12))," - ")</f>
        <v>0.37361111111111112</v>
      </c>
      <c r="F12" s="515">
        <f>IF(ISNUMBER((Datos!M12-Datos!W12)/Datos!W12),(Datos!M12-Datos!W12)/Datos!W12," - ")</f>
        <v>-0.29545454545454547</v>
      </c>
      <c r="G12" s="516">
        <f>IF(ISNUMBER((Datos!N12-Datos!X12)/Datos!X12),(Datos!N12-Datos!X12)/Datos!X12," - ")</f>
        <v>0.15789473684210525</v>
      </c>
      <c r="H12" s="514">
        <f>IF(ISNUMBER(((NºAsuntos!G12/NºAsuntos!E12)-Datos!BD12)/Datos!BD12),((NºAsuntos!G12/NºAsuntos!E12)-Datos!BD12)/Datos!BD12," - ")</f>
        <v>-0.46651135701805468</v>
      </c>
      <c r="I12" s="515">
        <f>IF(ISNUMBER(((NºAsuntos!I12/NºAsuntos!G12)-Datos!BE12)/Datos!BE12),((NºAsuntos!I12/NºAsuntos!G12)-Datos!BE12)/Datos!BE12," - ")</f>
        <v>0.94594907407407414</v>
      </c>
      <c r="J12" s="521">
        <f>IF(ISNUMBER((('Resol  Asuntos'!D12/NºAsuntos!G12)-Datos!BF12)/Datos!BF12),(('Resol  Asuntos'!D12/NºAsuntos!G12)-Datos!BF12)/Datos!BF12," - ")</f>
        <v>-0.42214912280701744</v>
      </c>
      <c r="K12" s="522">
        <f>IF(ISNUMBER((((NºAsuntos!C12+NºAsuntos!E12)/NºAsuntos!G12)-Datos!BG12)/Datos!BG12),(((NºAsuntos!C12+NºAsuntos!E12)/NºAsuntos!G12)-Datos!BG12)/Datos!BG12," - ")</f>
        <v>0.71094293667362563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0.16531165311653118</v>
      </c>
      <c r="C14" s="1152">
        <f>IF(ISNUMBER(
   IF(J_V="SI",(Datos!J14-Datos!T14)/Datos!T14,(Datos!J14+Datos!Z14-(Datos!T14+Datos!AH14))/(Datos!T14+Datos!AH14))
     ),IF(J_V="SI",(Datos!J14-Datos!T14)/Datos!T14,(Datos!J14+Datos!Z14-(Datos!T14+Datos!AH14))/(Datos!T14+Datos!AH14))," - ")</f>
        <v>0.32608695652173914</v>
      </c>
      <c r="D14" s="1152">
        <f>IF(ISNUMBER(
   IF(J_V="SI",(Datos!K14-Datos!U14)/Datos!U14,(Datos!K14+Datos!AA14-(Datos!U14+Datos!AI14))/(Datos!U14+Datos!AI14))
     ),IF(J_V="SI",(Datos!K14-Datos!U14)/Datos!U14,(Datos!K14+Datos!AA14-(Datos!U14+Datos!AI14))/(Datos!U14+Datos!AI14))," - ")</f>
        <v>-0.29288702928870292</v>
      </c>
      <c r="E14" s="1152">
        <f>IF(ISNUMBER(
   IF(J_V="SI",(Datos!L14-Datos!V14)/Datos!V14,(Datos!L14+Datos!AB14-(Datos!V14+Datos!AJ14))/(Datos!V14+Datos!AJ14))
     ),IF(J_V="SI",(Datos!L14-Datos!V14)/Datos!V14,(Datos!L14+Datos!AB14-(Datos!V14+Datos!AJ14))/(Datos!V14+Datos!AJ14))," - ")</f>
        <v>0.36625514403292181</v>
      </c>
      <c r="F14" s="1153">
        <f>IF(ISNUMBER((Datos!M14-Datos!W14)/Datos!W14),(Datos!M14-Datos!W14)/Datos!W14," - ")</f>
        <v>-0.31111111111111112</v>
      </c>
      <c r="G14" s="1154">
        <f>IF(ISNUMBER((Datos!N14-Datos!X14)/Datos!X14),(Datos!N14-Datos!X14)/Datos!X14," - ")</f>
        <v>0.17105263157894737</v>
      </c>
      <c r="H14" s="1154">
        <f>IF(ISNUMBER(((NºAsuntos!G14/NºAsuntos!E14)-Datos!BD14)/Datos!BD14),((NºAsuntos!G14/NºAsuntos!E14)-Datos!BD14)/Datos!BD14," - ")</f>
        <v>-0.46676726798820223</v>
      </c>
      <c r="I14" s="1154">
        <f>IF(ISNUMBER(((NºAsuntos!I14/NºAsuntos!G14)-Datos!BE14)/Datos!BE14),((NºAsuntos!I14/NºAsuntos!G14)-Datos!BE14)/Datos!BE14," - ")</f>
        <v>0.932159641561351</v>
      </c>
      <c r="J14" s="1154">
        <f>IF(ISNUMBER((('Resol  Asuntos'!D14/NºAsuntos!G14)-Datos!BF14)/Datos!BF14),(('Resol  Asuntos'!D14/NºAsuntos!G14)-Datos!BF14)/Datos!BF14," - ")</f>
        <v>-0.43064627680012296</v>
      </c>
      <c r="K14" s="1154">
        <f>IF(ISNUMBER((((NºAsuntos!C14+NºAsuntos!E14)/NºAsuntos!G14)-Datos!BG14)/Datos!BG14),(((NºAsuntos!C14+NºAsuntos!E14)/NºAsuntos!G14)-Datos!BG14)/Datos!BG14," - ")</f>
        <v>0.70200865567998416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3.5087719298245612E-2</v>
      </c>
      <c r="C17" s="515">
        <f>IF(ISNUMBER(
   IF(D_I="SI",(Datos!J17-Datos!T17)/Datos!T17,(Datos!J17+Datos!AD17-(Datos!T17+Datos!AL17))/(Datos!T17+Datos!AL17))
     ),IF(D_I="SI",(Datos!J17-Datos!T17)/Datos!T17,(Datos!J17+Datos!AD17-(Datos!T17+Datos!AL17))/(Datos!T17+Datos!AL17))," - ")</f>
        <v>-0.11731843575418995</v>
      </c>
      <c r="D17" s="515">
        <f>IF(ISNUMBER(
   IF(D_I="SI",(Datos!K17-Datos!U17)/Datos!U17,(Datos!K17+Datos!AE17-(Datos!U17+Datos!AM17))/(Datos!U17+Datos!AM17))
     ),IF(D_I="SI",(Datos!K17-Datos!U17)/Datos!U17,(Datos!K17+Datos!AE17-(Datos!U17+Datos!AM17))/(Datos!U17+Datos!AM17))," - ")</f>
        <v>-7.3954983922829579E-2</v>
      </c>
      <c r="E17" s="515">
        <f>IF(ISNUMBER(
   IF(D_I="SI",(Datos!L17-Datos!V17)/Datos!V17,(Datos!L17+Datos!AF17-(Datos!V17+Datos!AN17))/(Datos!V17+Datos!AN17))
     ),IF(D_I="SI",(Datos!L17-Datos!V17)/Datos!V17,(Datos!L17+Datos!AF17-(Datos!V17+Datos!AN17))/(Datos!V17+Datos!AN17))," - ")</f>
        <v>-3.0379746835443037E-2</v>
      </c>
      <c r="F17" s="515">
        <f>IF(ISNUMBER((Datos!M17-Datos!W17)/Datos!W17),(Datos!M17-Datos!W17)/Datos!W17," - ")</f>
        <v>0.33333333333333331</v>
      </c>
      <c r="G17" s="516">
        <f>IF(ISNUMBER((Datos!N17-Datos!X17)/Datos!X17),(Datos!N17-Datos!X17)/Datos!X17," - ")</f>
        <v>-8.294930875576037E-2</v>
      </c>
      <c r="H17" s="514">
        <f>IF(ISNUMBER(((NºAsuntos!G17/NºAsuntos!E17)-Datos!BD17)/Datos!BD17),((NºAsuntos!G17/NºAsuntos!E17)-Datos!BD17)/Datos!BD17," - ")</f>
        <v>4.9126948593756263E-2</v>
      </c>
      <c r="I17" s="515">
        <f>IF(ISNUMBER(((NºAsuntos!I17/NºAsuntos!G17)-Datos!BE17)/Datos!BE17),((NºAsuntos!I17/NºAsuntos!G17)-Datos!BE17)/Datos!BE17," - ")</f>
        <v>4.7055203938115395E-2</v>
      </c>
      <c r="J17" s="521">
        <f>IF(ISNUMBER((('Resol  Asuntos'!D17/NºAsuntos!G17)-Datos!BF17)/Datos!BF17),(('Resol  Asuntos'!D17/NºAsuntos!G17)-Datos!BF17)/Datos!BF17," - ")</f>
        <v>0.43981481481481471</v>
      </c>
      <c r="K17" s="522">
        <f>IF(ISNUMBER((((NºAsuntos!C17+NºAsuntos!E17)/NºAsuntos!G17)-Datos!BG17)/Datos!BG17),(((NºAsuntos!C17+NºAsuntos!E17)/NºAsuntos!G17)-Datos!BG17)/Datos!BG17," - ")</f>
        <v>3.3581349206349115E-2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0.4642857142857143</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0.31666666666666665</v>
      </c>
      <c r="F18" s="515" t="str">
        <f>IF(ISNUMBER((Datos!M18-Datos!W18)/Datos!W18),(Datos!M18-Datos!W18)/Datos!W18," - ")</f>
        <v xml:space="preserve"> - </v>
      </c>
      <c r="G18" s="516">
        <f>IF(ISNUMBER((Datos!N18-Datos!X18)/Datos!X18),(Datos!N18-Datos!X18)/Datos!X18," - ")</f>
        <v>0.76470588235294112</v>
      </c>
      <c r="H18" s="514">
        <f>IF(ISNUMBER(((NºAsuntos!G18/NºAsuntos!E18)-Datos!BD18)/Datos!BD18),((NºAsuntos!G18/NºAsuntos!E18)-Datos!BD18)/Datos!BD18," - ")</f>
        <v>0.19512195121951234</v>
      </c>
      <c r="I18" s="515">
        <f>IF(ISNUMBER(((NºAsuntos!I18/NºAsuntos!G18)-Datos!BE18)/Datos!BE18),((NºAsuntos!I18/NºAsuntos!G18)-Datos!BE18)/Datos!BE18," - ")</f>
        <v>-0.24761904761904757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-0.19548872180451124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7.6923076923076927E-2</v>
      </c>
      <c r="C23" s="1152">
        <f>IF(ISNUMBER(
   IF(Criterios!B14="SI",(Datos!J23-Datos!T23)/Datos!T23,(Datos!J23+Datos!AD23-(Datos!T23+Datos!AL23))/(Datos!T23+Datos!AL23))
     ),IF(Criterios!B14="SI",(Datos!J23-Datos!T23)/Datos!T23,(Datos!J23+Datos!AD23-(Datos!T23+Datos!AL23))/(Datos!T23+Datos!AL23))," - ")</f>
        <v>-7.512953367875648E-2</v>
      </c>
      <c r="D23" s="1152">
        <f>IF(ISNUMBER(
   IF(Criterios!B14="SI",(Datos!K23-Datos!U23)/Datos!U23,(Datos!K23+Datos!AE23-(Datos!U23+Datos!AM23))/(Datos!U23+Datos!AM23))
     ),IF(Criterios!B14="SI",(Datos!K23-Datos!U23)/Datos!U23,(Datos!K23+Datos!AE23-(Datos!U23+Datos!AM23))/(Datos!U23+Datos!AM23))," - ")</f>
        <v>-3.3639143730886847E-2</v>
      </c>
      <c r="E23" s="1152">
        <f>IF(ISNUMBER(
   IF(Criterios!B14="SI",(Datos!L23-Datos!V23)/Datos!V23,(Datos!L23+Datos!AF23-(Datos!V23+Datos!AN23))/(Datos!V23+Datos!AN23))
     ),IF(Criterios!B14="SI",(Datos!L23-Datos!V23)/Datos!V23,(Datos!L23+Datos!AF23-(Datos!V23+Datos!AN23))/(Datos!V23+Datos!AN23))," - ")</f>
        <v>1.5384615384615385E-2</v>
      </c>
      <c r="F23" s="1153">
        <f>IF(ISNUMBER((Datos!M23-Datos!W23)/Datos!W23),(Datos!M23-Datos!W23)/Datos!W23," - ")</f>
        <v>0.33333333333333331</v>
      </c>
      <c r="G23" s="1154">
        <f>IF(ISNUMBER((Datos!N23-Datos!X23)/Datos!X23),(Datos!N23-Datos!X23)/Datos!X23," - ")</f>
        <v>-2.1367521367521368E-2</v>
      </c>
      <c r="H23" s="1154">
        <f>IF(ISNUMBER(((NºAsuntos!G23/NºAsuntos!E23)-Datos!BD23)/Datos!BD23),((NºAsuntos!G23/NºAsuntos!E23)-Datos!BD23)/Datos!BD23," - ")</f>
        <v>4.4860757758760937E-2</v>
      </c>
      <c r="I23" s="1154">
        <f>IF(ISNUMBER(((NºAsuntos!I23/NºAsuntos!G23)-Datos!BE23)/Datos!BE23),((NºAsuntos!I23/NºAsuntos!G23)-Datos!BE23)/Datos!BE23," - ")</f>
        <v>5.0730282375852052E-2</v>
      </c>
      <c r="J23" s="1154">
        <f>IF(ISNUMBER((('Resol  Asuntos'!D23/NºAsuntos!G23)-Datos!BF23)/Datos!BF23),(('Resol  Asuntos'!D23/NºAsuntos!G23)-Datos!BF23)/Datos!BF23," - ")</f>
        <v>0.37974683544303789</v>
      </c>
      <c r="K23" s="1154">
        <f>IF(ISNUMBER((((NºAsuntos!C23+NºAsuntos!E23)/NºAsuntos!G23)-Datos!BG23)/Datos!BG23),(((NºAsuntos!C23+NºAsuntos!E23)/NºAsuntos!G23)-Datos!BG23)/Datos!BG23," - ")</f>
        <v>3.6143644786637064E-2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0.13475177304964539</v>
      </c>
      <c r="C31" s="1092">
        <f>IF(ISNUMBER(
   IF(J_V="SI",(Datos!J31-Datos!T31)/Datos!T31,(Datos!J31+Datos!Z31-(Datos!T31+Datos!AH31))/(Datos!T31+Datos!AH31))
     ),IF(J_V="SI",(Datos!J31-Datos!T31)/Datos!T31,(Datos!J31+Datos!Z31-(Datos!T31+Datos!AH31))/(Datos!T31+Datos!AH31))," - ")</f>
        <v>7.4675324675324672E-2</v>
      </c>
      <c r="D31" s="1092">
        <f>IF(ISNUMBER(
   IF(J_V="SI",(Datos!K31-Datos!U31)/Datos!U31,(Datos!K31+Datos!AA31-(Datos!U31+Datos!AI31))/(Datos!U31+Datos!AI31))
     ),IF(J_V="SI",(Datos!K31-Datos!U31)/Datos!U31,(Datos!K31+Datos!AA31-(Datos!U31+Datos!AI31))/(Datos!U31+Datos!AI31))," - ")</f>
        <v>-0.14310954063604239</v>
      </c>
      <c r="E31" s="1092">
        <f>IF(ISNUMBER(
   IF(J_V="SI",(Datos!L31-Datos!V31)/Datos!V31,(Datos!L31+Datos!AB31-(Datos!V31+Datos!AJ31))/(Datos!V31+Datos!AJ31))
     ),IF(J_V="SI",(Datos!L31-Datos!V31)/Datos!V31,(Datos!L31+Datos!AB31-(Datos!V31+Datos!AJ31))/(Datos!V31+Datos!AJ31))," - ")</f>
        <v>0.23141891891891891</v>
      </c>
      <c r="F31" s="1093">
        <f>IF(ISNUMBER((Datos!M31-Datos!W31)/Datos!W31),(Datos!M31-Datos!W31)/Datos!W31," - ")</f>
        <v>-0.10606060606060606</v>
      </c>
      <c r="G31" s="1094">
        <f>IF(ISNUMBER((Datos!N31-Datos!X31)/Datos!X31),(Datos!N31-Datos!X31)/Datos!X31," - ")</f>
        <v>2.5806451612903226E-2</v>
      </c>
      <c r="H31" s="1095">
        <f>IF(ISNUMBER((Tasas!B31-Datos!BD31)/Datos!BD31),(Tasas!B31-Datos!BD31)/Datos!BD31," - ")</f>
        <v>-0.2026517779936588</v>
      </c>
      <c r="I31" s="1096">
        <f>IF(ISNUMBER((Tasas!C31-Datos!BE31)/Datos!BE31),(Tasas!C31-Datos!BE31)/Datos!BE31," - ")</f>
        <v>0.43707857341877943</v>
      </c>
      <c r="J31" s="1097">
        <f>IF(ISNUMBER((Tasas!D31-Datos!BF31)/Datos!BF31),(Tasas!D31-Datos!BF31)/Datos!BF31," - ")</f>
        <v>-0.29741216074058496</v>
      </c>
      <c r="K31" s="1097">
        <f>IF(ISNUMBER((Tasas!E31-Datos!BG31)/Datos!BG31),(Tasas!E31-Datos!BG31)/Datos!BG31," - ")</f>
        <v>0.29950345218953933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I7aXGg4uWjwAQDRvOCMIN0eA1S3XQcVxc5Kgejg7xpAuBfEp8ImcNz9gzq3VvxeUc6yMCNUAKvdAANJeR4eg==" saltValue="32vBtJ35Uu6x9JCp01G7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VILLARROBLEDO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7</v>
      </c>
      <c r="D10" s="499">
        <f>IF(ISNUMBER('Resol  Asuntos'!D10/NºAsuntos!G10),'Resol  Asuntos'!D10/NºAsuntos!G10," - ")</f>
        <v>0</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0.5544554455445545</v>
      </c>
      <c r="C12" s="498">
        <f>IF(ISNUMBER(NºAsuntos!I12/NºAsuntos!G12),NºAsuntos!I12/NºAsuntos!G12," - ")</f>
        <v>5.8869047619047619</v>
      </c>
      <c r="D12" s="499">
        <f>IF(ISNUMBER('Resol  Asuntos'!D12/NºAsuntos!G12),'Resol  Asuntos'!D12/NºAsuntos!G12," - ")</f>
        <v>0.18452380952380953</v>
      </c>
      <c r="E12" s="500">
        <f>IF(ISNUMBER((NºAsuntos!C12+NºAsuntos!E12)/NºAsuntos!G12),(NºAsuntos!C12+NºAsuntos!E12)/NºAsuntos!G12," - ")</f>
        <v>6.8869047619047619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0.5540983606557377</v>
      </c>
      <c r="C14" s="1156">
        <f>IF(ISNUMBER(NºAsuntos!I14/NºAsuntos!G14),NºAsuntos!I14/NºAsuntos!G14," - ")</f>
        <v>5.8934911242603549</v>
      </c>
      <c r="D14" s="1157">
        <f>IF(ISNUMBER('Resol  Asuntos'!D14/NºAsuntos!G14),'Resol  Asuntos'!D14/NºAsuntos!G14," - ")</f>
        <v>0.18343195266272189</v>
      </c>
      <c r="E14" s="1158">
        <f>IF(ISNUMBER((NºAsuntos!C14+NºAsuntos!E14)/NºAsuntos!G14),(NºAsuntos!C14+NºAsuntos!E14)/NºAsuntos!G14," - ")</f>
        <v>6.8934911242603549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0.91139240506329111</v>
      </c>
      <c r="C17" s="498">
        <f>IF(ISNUMBER(NºAsuntos!I17/NºAsuntos!G17),NºAsuntos!I17/NºAsuntos!G17," - ")</f>
        <v>1.3298611111111112</v>
      </c>
      <c r="D17" s="499">
        <f>IF(ISNUMBER('Resol  Asuntos'!D17/NºAsuntos!G17),'Resol  Asuntos'!D17/NºAsuntos!G17," - ")</f>
        <v>9.7222222222222224E-2</v>
      </c>
      <c r="E17" s="500">
        <f>IF(ISNUMBER((NºAsuntos!C17+NºAsuntos!E17)/NºAsuntos!G17),(NºAsuntos!C17+NºAsuntos!E17)/NºAsuntos!G17," - ")</f>
        <v>2.3263888888888888</v>
      </c>
      <c r="G17" s="523"/>
    </row>
    <row r="18" spans="1:7">
      <c r="A18" s="450" t="str">
        <f>Datos!A18</f>
        <v>Jdos. Violencia contra la mujer</v>
      </c>
      <c r="B18" s="497">
        <f>IF(ISNUMBER(NºAsuntos!G18/NºAsuntos!E18),NºAsuntos!G18/NºAsuntos!E18," - ")</f>
        <v>0.68292682926829273</v>
      </c>
      <c r="C18" s="498">
        <f>IF(ISNUMBER(NºAsuntos!I18/NºAsuntos!G18),NºAsuntos!I18/NºAsuntos!G18," - ")</f>
        <v>2.8214285714285716</v>
      </c>
      <c r="D18" s="499">
        <f>IF(ISNUMBER('Resol  Asuntos'!D18/NºAsuntos!G18),'Resol  Asuntos'!D18/NºAsuntos!G18," - ")</f>
        <v>0</v>
      </c>
      <c r="E18" s="500">
        <f>IF(ISNUMBER((NºAsuntos!C18+NºAsuntos!E18)/NºAsuntos!G18),(NºAsuntos!C18+NºAsuntos!E18)/NºAsuntos!G18," - ")</f>
        <v>3.8214285714285716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0.88515406162464982</v>
      </c>
      <c r="C23" s="1156">
        <f>IF(ISNUMBER(NºAsuntos!I23/NºAsuntos!G23),NºAsuntos!I23/NºAsuntos!G23," - ")</f>
        <v>1.4620253164556962</v>
      </c>
      <c r="D23" s="1159">
        <f>IF(ISNUMBER('Resol  Asuntos'!D23/NºAsuntos!G23),'Resol  Asuntos'!D23/NºAsuntos!G23," - ")</f>
        <v>8.8607594936708861E-2</v>
      </c>
      <c r="E23" s="1158">
        <f>IF(ISNUMBER((NºAsuntos!C23+NºAsuntos!E23)/NºAsuntos!G23),(NºAsuntos!C23+NºAsuntos!E23)/NºAsuntos!G23," - ")</f>
        <v>2.4588607594936707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0.73262839879154074</v>
      </c>
      <c r="C31" s="1099">
        <f>IF(ISNUMBER(NºAsuntos!I31/NºAsuntos!G31),NºAsuntos!I31/NºAsuntos!G31," - ")</f>
        <v>3.0061855670103093</v>
      </c>
      <c r="D31" s="1100">
        <f>IF(ISNUMBER('Resol  Asuntos'!D31/NºAsuntos!G31),'Resol  Asuntos'!D31/NºAsuntos!G31," - ")</f>
        <v>0.12164948453608247</v>
      </c>
      <c r="E31" s="1101">
        <f>IF(ISNUMBER((NºAsuntos!C31+NºAsuntos!E31)/NºAsuntos!G31),(NºAsuntos!C31+NºAsuntos!E31)/NºAsuntos!G31," - ")</f>
        <v>4.0041237113402062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a1CCcgJeDWLHJiYTZsVEUtV03OG/2FgcvKwDIH/ICXBpFd9WqtBbxi47hBcLQSChn4DztejI9HrdZb7Bfc72g==" saltValue="wuC4LQISbOyLxTorf/vt9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VILLARROBLEDO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14</v>
      </c>
      <c r="AN10" s="267">
        <f>IF(ISNUMBER('Resol  Asuntos'!D10/NºAsuntos!G10),'Resol  Asuntos'!D10/NºAsuntos!G10," - ")</f>
        <v>0</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0.5544554455445545</v>
      </c>
      <c r="AM12" s="284">
        <f>IF(ISNUMBER(((NºAsuntos!I12/NºAsuntos!G12)*11)/factor_trimestre),((NºAsuntos!I12/NºAsuntos!G12)*11)/factor_trimestre," - ")</f>
        <v>11.773809523809524</v>
      </c>
      <c r="AN12" s="267">
        <f>IF(ISNUMBER('Resol  Asuntos'!D12/NºAsuntos!G12),'Resol  Asuntos'!D12/NºAsuntos!G12," - ")</f>
        <v>0.18452380952380953</v>
      </c>
      <c r="AO12" s="268">
        <f>IF(ISNUMBER((NºAsuntos!C12+NºAsuntos!E12)/NºAsuntos!G12),(NºAsuntos!C12+NºAsuntos!E12)/NºAsuntos!G12," - ")</f>
        <v>6.8869047619047619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22</v>
      </c>
      <c r="Y14" s="1165">
        <f t="shared" si="6"/>
        <v>23</v>
      </c>
      <c r="Z14" s="1165">
        <f t="shared" si="6"/>
        <v>0</v>
      </c>
      <c r="AA14" s="1165">
        <f t="shared" si="6"/>
        <v>7</v>
      </c>
      <c r="AB14" s="1165">
        <f t="shared" si="6"/>
        <v>1462</v>
      </c>
      <c r="AC14" s="1165">
        <f t="shared" si="6"/>
        <v>7</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0.5540983606557377</v>
      </c>
      <c r="AM14" s="1171">
        <f>IF(ISNUMBER(((NºAsuntos!I14/NºAsuntos!G14)*11)/factor_trimestre),((NºAsuntos!I14/NºAsuntos!G14)*11)/factor_trimestre," - ")</f>
        <v>11.786982248520708</v>
      </c>
      <c r="AN14" s="1172">
        <f>IF(ISNUMBER('Resol  Asuntos'!D14/NºAsuntos!G14),'Resol  Asuntos'!D14/NºAsuntos!G14," - ")</f>
        <v>0.18343195266272189</v>
      </c>
      <c r="AO14" s="1173">
        <f>IF(ISNUMBER((NºAsuntos!C14+NºAsuntos!E14)/NºAsuntos!G14),(NºAsuntos!C14+NºAsuntos!E14)/NºAsuntos!G14," - ")</f>
        <v>6.8934911242603549</v>
      </c>
      <c r="AP14" s="1174" t="str">
        <f t="shared" si="2"/>
        <v xml:space="preserve"> - </v>
      </c>
      <c r="AQ14" s="1174">
        <f>IF(ISNUMBER((H14-W14+K14)/(F14)),(H14-W14+K14)/(F14)," - ")</f>
        <v>-0.16666666666666666</v>
      </c>
      <c r="AR14" s="1175">
        <f>IF(ISNUMBER((Datos!P14-Datos!Q14)/(Datos!R14-Datos!P14+Datos!Q14)),(Datos!P14-Datos!Q14)/(Datos!R14-Datos!P14+Datos!Q14)," - ")</f>
        <v>3.0303030303030304E-2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355</v>
      </c>
      <c r="G17" s="373">
        <f>IF(ISNUMBER(IF(D_I="SI",Datos!I17,Datos!I17+Datos!AC17)),IF(D_I="SI",Datos!I17,Datos!I17+Datos!AC17)," - ")</f>
        <v>354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288</v>
      </c>
      <c r="X17" s="240">
        <f>IF(ISNUMBER(Datos!Q17),Datos!Q17," - ")</f>
        <v>4</v>
      </c>
      <c r="Y17" s="374">
        <f t="shared" ref="Y17:Y22" si="9">SUM(W17:X17)</f>
        <v>292</v>
      </c>
      <c r="Z17" s="375" t="str">
        <f>IF(ISNUMBER(Datos!CC17),Datos!CC17," - ")</f>
        <v xml:space="preserve"> - </v>
      </c>
      <c r="AA17" s="372">
        <f>IF(ISNUMBER(IF(D_I="SI",Datos!L17,Datos!L17+Datos!AF17)),IF(D_I="SI",Datos!L17,Datos!L17+Datos!AF17)," - ")</f>
        <v>383</v>
      </c>
      <c r="AB17" s="374">
        <f>IF(ISNUMBER(Datos!R17),Datos!R17," - ")</f>
        <v>45</v>
      </c>
      <c r="AC17" s="374">
        <f t="shared" si="8"/>
        <v>428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0.91139240506329111</v>
      </c>
      <c r="AM17" s="284">
        <f>IF(ISNUMBER(((NºAsuntos!I17/NºAsuntos!G17)*11)/factor_trimestre),((NºAsuntos!I17/NºAsuntos!G17)*11)/factor_trimestre," - ")</f>
        <v>2.6597222222222223</v>
      </c>
      <c r="AN17" s="267">
        <f>IF(ISNUMBER('Resol  Asuntos'!D17/NºAsuntos!G17),'Resol  Asuntos'!D17/NºAsuntos!G17," - ")</f>
        <v>9.7222222222222224E-2</v>
      </c>
      <c r="AO17" s="268">
        <f>IF(ISNUMBER((NºAsuntos!C17+NºAsuntos!E17)/NºAsuntos!G17),(NºAsuntos!C17+NºAsuntos!E17)/NºAsuntos!G17," - ")</f>
        <v>2.3263888888888888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79</v>
      </c>
      <c r="AB18" s="374">
        <f>IF(ISNUMBER(Datos!R18),Datos!R18," - ")</f>
        <v>0</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0.68292682926829273</v>
      </c>
      <c r="AM18" s="284">
        <f>IF(ISNUMBER(((NºAsuntos!I18/NºAsuntos!G18)*11)/factor_trimestre),((NºAsuntos!I18/NºAsuntos!G18)*11)/factor_trimestre," - ")</f>
        <v>5.6428571428571432</v>
      </c>
      <c r="AN18" s="267">
        <f>IF(ISNUMBER('Resol  Asuntos'!D18/NºAsuntos!G18),'Resol  Asuntos'!D18/NºAsuntos!G18," - ")</f>
        <v>0</v>
      </c>
      <c r="AO18" s="268">
        <f>IF(ISNUMBER((NºAsuntos!C18+NºAsuntos!E18)/NºAsuntos!G18),(NºAsuntos!C18+NºAsuntos!E18)/NºAsuntos!G18," - ")</f>
        <v>3.8214285714285716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355</v>
      </c>
      <c r="G23" s="1163">
        <f>SUBTOTAL(9,G16:G22)</f>
        <v>420</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316</v>
      </c>
      <c r="X23" s="1164">
        <f t="shared" si="14"/>
        <v>4</v>
      </c>
      <c r="Y23" s="1165">
        <f t="shared" si="14"/>
        <v>320</v>
      </c>
      <c r="Z23" s="1165">
        <f t="shared" si="14"/>
        <v>0</v>
      </c>
      <c r="AA23" s="1165">
        <f t="shared" si="14"/>
        <v>462</v>
      </c>
      <c r="AB23" s="1165">
        <f t="shared" si="14"/>
        <v>45</v>
      </c>
      <c r="AC23" s="1165">
        <f t="shared" si="14"/>
        <v>507</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0.88515406162464982</v>
      </c>
      <c r="AM23" s="1171">
        <f>IF(ISNUMBER(((NºAsuntos!I23/NºAsuntos!G23)*11)/factor_trimestre),((NºAsuntos!I23/NºAsuntos!G23)*11)/factor_trimestre," - ")</f>
        <v>2.9240506329113924</v>
      </c>
      <c r="AN23" s="1172">
        <f>IF(ISNUMBER('Resol  Asuntos'!D23/NºAsuntos!G23),'Resol  Asuntos'!D23/NºAsuntos!G23," - ")</f>
        <v>8.8607594936708861E-2</v>
      </c>
      <c r="AO23" s="1173">
        <f>IF(ISNUMBER((NºAsuntos!C23+NºAsuntos!E23)/NºAsuntos!G23),(NºAsuntos!C23+NºAsuntos!E23)/NºAsuntos!G23," - ")</f>
        <v>2.4588607594936707</v>
      </c>
      <c r="AP23" s="1174" t="str">
        <f t="shared" si="2"/>
        <v xml:space="preserve"> - </v>
      </c>
      <c r="AQ23" s="1174">
        <f>IF(ISNUMBER((H23-W23+K23)/(F23)),(H23-W23+K23)/(F23)," - ")</f>
        <v>-0.89014084507042257</v>
      </c>
      <c r="AR23" s="1175">
        <f>IF(ISNUMBER((Datos!P23-Datos!Q23)/(Datos!R23-Datos!P23+Datos!Q23)),(Datos!P23-Datos!Q23)/(Datos!R23-Datos!P23+Datos!Q23)," - ")</f>
        <v>9.7560975609756101E-2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361</v>
      </c>
      <c r="G31" s="1118">
        <f t="shared" si="20"/>
        <v>426</v>
      </c>
      <c r="H31" s="1117">
        <f t="shared" si="20"/>
        <v>0</v>
      </c>
      <c r="I31" s="1119">
        <f t="shared" si="20"/>
        <v>0</v>
      </c>
      <c r="J31" s="1119">
        <f t="shared" si="20"/>
        <v>0</v>
      </c>
      <c r="K31" s="1180">
        <f t="shared" si="20"/>
        <v>0</v>
      </c>
      <c r="L31" s="1119">
        <f t="shared" si="20"/>
        <v>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317</v>
      </c>
      <c r="X31" s="1118">
        <f t="shared" si="21"/>
        <v>26</v>
      </c>
      <c r="Y31" s="1125">
        <f t="shared" si="21"/>
        <v>343</v>
      </c>
      <c r="Z31" s="1125">
        <f t="shared" si="21"/>
        <v>0</v>
      </c>
      <c r="AA31" s="1125">
        <f t="shared" si="21"/>
        <v>469</v>
      </c>
      <c r="AB31" s="1125">
        <f t="shared" si="21"/>
        <v>1507</v>
      </c>
      <c r="AC31" s="1125">
        <f t="shared" si="21"/>
        <v>514</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0.73262839879154074</v>
      </c>
      <c r="AM31" s="1184">
        <f>IF(ISNUMBER(((NºAsuntos!I31/NºAsuntos!G31)*11)/factor_trimestre),((NºAsuntos!I31/NºAsuntos!G31)*11)/factor_trimestre," - ")</f>
        <v>6.0123711340206194</v>
      </c>
      <c r="AN31" s="1184">
        <f>IF(ISNUMBER('Resol  Asuntos'!D31/NºAsuntos!G31),'Resol  Asuntos'!D31/NºAsuntos!G31," - ")</f>
        <v>0.12164948453608247</v>
      </c>
      <c r="AO31" s="1185">
        <f>IF(ISNUMBER((NºAsuntos!C31+NºAsuntos!E31)/NºAsuntos!G31),(NºAsuntos!C31+NºAsuntos!E31)/NºAsuntos!G31," - ")</f>
        <v>4.0041237113402062</v>
      </c>
      <c r="AP31" s="1186" t="str">
        <f t="shared" si="2"/>
        <v xml:space="preserve"> - </v>
      </c>
      <c r="AQ31" s="1187">
        <f>IF(OR(ISNUMBER(FIND("01",Criterios!A8,1)),ISNUMBER(FIND("02",Criterios!A8,1)),ISNUMBER(FIND("03",Criterios!A8,1)),ISNUMBER(FIND("04",Criterios!A8,1))),(I31-W31+K31)/(F31-K31),(H31-W31+K31)/(F31-K31))</f>
        <v>-0.87811634349030476</v>
      </c>
      <c r="AR31" s="1188">
        <f>IF(ISNUMBER((Datos!P31-Datos!Q31)/(Datos!R31-Datos!P31+Datos!Q31)),(Datos!P31-Datos!Q31)/(Datos!R31-Datos!P31+Datos!Q31)," - ")</f>
        <v>3.2191780821917808E-2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121.71428571428571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181.79182233166227</v>
      </c>
      <c r="G33" s="277">
        <f>IF(ISNUMBER(STDEV(G8:G30)),STDEV(G8:G30),"-")</f>
        <v>183.68606759515384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145.00788155919565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15.809129369720884</v>
      </c>
      <c r="AJ33" s="276">
        <f t="shared" si="25"/>
        <v>0</v>
      </c>
      <c r="AK33" s="278">
        <f t="shared" si="25"/>
        <v>0</v>
      </c>
      <c r="AL33" s="273">
        <f t="shared" si="25"/>
        <v>0.17868470518380319</v>
      </c>
      <c r="AM33" s="274">
        <f t="shared" si="25"/>
        <v>4.9863711294273125</v>
      </c>
      <c r="AN33" s="274">
        <f t="shared" si="25"/>
        <v>8.2324608631078974E-2</v>
      </c>
      <c r="AO33" s="275">
        <f t="shared" si="25"/>
        <v>2.4946086980890656</v>
      </c>
      <c r="AP33" s="317" t="str">
        <f t="shared" si="25"/>
        <v>-</v>
      </c>
      <c r="AQ33" s="318">
        <f t="shared" si="25"/>
        <v>0.51157349756266191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ghab4VGnTE5FkD2n02UEiWzyHvJQRdWho0lM5LtosLH3dQAiFLFBzHP6VLmJVEJ2aGu/L90Rg/z80720+9GJA==" saltValue="ojXSZniId0t7Yaz+bdQK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VILLARROBLEDO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1</v>
      </c>
      <c r="F10" s="393">
        <f>IF(ISNUMBER((Datos!K10-Datos!U10)/Datos!U10),(Datos!K10-Datos!U10)/Datos!U10," - ")</f>
        <v>0</v>
      </c>
      <c r="G10" s="394">
        <f>IF(ISNUMBER((Datos!L10-Datos!V10)/Datos!V10),(Datos!L10-Datos!V10)/Datos!V10," - ")</f>
        <v>-0.22222222222222221</v>
      </c>
      <c r="H10" s="244">
        <f>IF(ISNUMBER((Datos!M10-Datos!W10)/Datos!W10),(Datos!M10-Datos!W10)/Datos!W10," - ")</f>
        <v>-1</v>
      </c>
      <c r="I10" s="395">
        <f>IF(ISNUMBER((Tasas!C10-Datos!BE10)/Datos!BE10),(Tasas!C10-Datos!BE10)/Datos!BE10," - ")</f>
        <v>-0.22222222222222221</v>
      </c>
      <c r="J10" s="394">
        <f>IF(ISNUMBER((Tasas!D10-Datos!BF10)/Datos!BF10),(Tasas!D10-Datos!BF10)/Datos!BF10," - ")</f>
        <v>-1</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-0.29545454545454547</v>
      </c>
      <c r="I12" s="395">
        <f>IF(ISNUMBER((Tasas!C12-Datos!BE12)/Datos!BE12),(Tasas!C12-Datos!BE12)/Datos!BE12," - ")</f>
        <v>0.94594907407407414</v>
      </c>
      <c r="J12" s="394">
        <f>IF(ISNUMBER((Tasas!D12-Datos!BF12)/Datos!BF12),(Tasas!D12-Datos!BF12)/Datos!BF12," - ")</f>
        <v>-0.42214912280701744</v>
      </c>
      <c r="K12" s="396">
        <f>IF(ISNUMBER((Tasas!E12-Datos!BG12)/Datos!BG12),(Tasas!E12-Datos!BG12)/Datos!BG12," - ")</f>
        <v>0.71094293667362563</v>
      </c>
      <c r="M12" t="e">
        <f>IF(Monitorios="SI",Datos!CE12,0)</f>
        <v>#REF!</v>
      </c>
      <c r="N12" t="e">
        <f>IF(Monitorios="SI",Datos!CF12,0)</f>
        <v>#REF!</v>
      </c>
      <c r="O12" t="e">
        <f>IF(Monitorios="SI",Datos!CG12,0)</f>
        <v>#REF!</v>
      </c>
      <c r="P12" t="e">
        <f>IF(Monitorios="SI",Datos!CH12,0)</f>
        <v>#REF!</v>
      </c>
      <c r="Q12">
        <f>IF(J_V="SI",0,Datos!AG12)</f>
        <v>38</v>
      </c>
      <c r="R12">
        <f>IF(J_V="SI",0,Datos!AH12)</f>
        <v>32</v>
      </c>
      <c r="S12">
        <f>IF(J_V="SI",0,Datos!AI12)</f>
        <v>29</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-0.31111111111111112</v>
      </c>
      <c r="I14" s="402">
        <f>IF(ISNUMBER((Tasas!C14-Datos!BE14)/Datos!BE14),(Tasas!C14-Datos!BE14)/Datos!BE14," - ")</f>
        <v>0.932159641561351</v>
      </c>
      <c r="J14" s="400">
        <f>IF(ISNUMBER((Tasas!D14-Datos!BF14)/Datos!BF14),(Tasas!D14-Datos!BF14)/Datos!BF14," - ")</f>
        <v>-0.43064627680012296</v>
      </c>
      <c r="K14" s="403">
        <f>IF(ISNUMBER((Tasas!E14-Datos!BG14)/Datos!BG14),(Tasas!E14-Datos!BG14)/Datos!BG14," - ")</f>
        <v>0.70200865567998416</v>
      </c>
      <c r="M14" t="e">
        <f>IF(Monitorios="SI",Datos!CE14,0)</f>
        <v>#REF!</v>
      </c>
      <c r="N14" t="e">
        <f>IF(Monitorios="SI",Datos!CF14,0)</f>
        <v>#REF!</v>
      </c>
      <c r="O14" t="e">
        <f>IF(Monitorios="SI",Datos!CG14,0)</f>
        <v>#REF!</v>
      </c>
      <c r="P14" t="e">
        <f>IF(Monitorios="SI",Datos!CH14,0)</f>
        <v>#REF!</v>
      </c>
      <c r="Q14">
        <f>IF(J_V="SI",0,Datos!AG14)</f>
        <v>38</v>
      </c>
      <c r="R14">
        <f>IF(J_V="SI",0,Datos!AH14)</f>
        <v>32</v>
      </c>
      <c r="S14">
        <f>IF(J_V="SI",0,Datos!AI14)</f>
        <v>29</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3.5087719298245612E-2</v>
      </c>
      <c r="E17" s="393">
        <f>IF(ISNUMBER(
   IF(D_I="SI",(Datos!J17-Datos!T17)/Datos!T17,(Datos!J17+Datos!AD17-(Datos!T17+Datos!AL17))/(Datos!T17+Datos!AL17))
     ),IF(D_I="SI",(Datos!J17-Datos!T17)/Datos!T17,(Datos!J17+Datos!AD17-(Datos!T17+Datos!AL17))/(Datos!T17+Datos!AL17))," - ")</f>
        <v>-0.11731843575418995</v>
      </c>
      <c r="F17" s="393">
        <f>IF(ISNUMBER(
   IF(D_I="SI",(Datos!K17-Datos!U17)/Datos!U17,(Datos!K17+Datos!AE17-(Datos!U17+Datos!AM17))/(Datos!U17+Datos!AM17))
     ),IF(D_I="SI",(Datos!K17-Datos!U17)/Datos!U17,(Datos!K17+Datos!AE17-(Datos!U17+Datos!AM17))/(Datos!U17+Datos!AM17))," - ")</f>
        <v>-7.3954983922829579E-2</v>
      </c>
      <c r="G17" s="394">
        <f>IF(ISNUMBER(
   IF(D_I="SI",(Datos!L17-Datos!V17)/Datos!V17,(Datos!L17+Datos!AF17-(Datos!V17+Datos!AN17))/(Datos!V17+Datos!AN17))
     ),IF(D_I="SI",(Datos!L17-Datos!V17)/Datos!V17,(Datos!L17+Datos!AF17-(Datos!V17+Datos!AN17))/(Datos!V17+Datos!AN17))," - ")</f>
        <v>-3.0379746835443037E-2</v>
      </c>
      <c r="H17" s="244">
        <f>IF(ISNUMBER((Datos!M17-Datos!W17)/Datos!W17),(Datos!M17-Datos!W17)/Datos!W17," - ")</f>
        <v>0.33333333333333331</v>
      </c>
      <c r="I17" s="395">
        <f>IF(ISNUMBER((Tasas!C17-Datos!BE17)/Datos!BE17),(Tasas!C17-Datos!BE17)/Datos!BE17," - ")</f>
        <v>4.7055203938115395E-2</v>
      </c>
      <c r="J17" s="394">
        <f>IF(ISNUMBER((Tasas!D17-Datos!BF17)/Datos!BF17),(Tasas!D17-Datos!BF17)/Datos!BF17," - ")</f>
        <v>0.43981481481481471</v>
      </c>
      <c r="K17" s="396">
        <f>IF(ISNUMBER((Tasas!E17-Datos!BG17)/Datos!BG17),(Tasas!E17-Datos!BG17)/Datos!BG17," - ")</f>
        <v>3.3581349206349115E-2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0.4642857142857143</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0.31666666666666665</v>
      </c>
      <c r="H18" s="244" t="str">
        <f>IF(ISNUMBER((Datos!M18-Datos!W18)/Datos!W18),(Datos!M18-Datos!W18)/Datos!W18," - ")</f>
        <v xml:space="preserve"> - </v>
      </c>
      <c r="I18" s="395">
        <f>IF(ISNUMBER((Tasas!C18-Datos!BE18)/Datos!BE18),(Tasas!C18-Datos!BE18)/Datos!BE18," - ")</f>
        <v>-0.24761904761904757</v>
      </c>
      <c r="J18" s="394" t="str">
        <f>IF(ISNUMBER((Tasas!D18-Datos!BF18)/Datos!BF18),(Tasas!D18-Datos!BF18)/Datos!BF18," - ")</f>
        <v xml:space="preserve"> - </v>
      </c>
      <c r="K18" s="396">
        <f>IF(ISNUMBER((Tasas!E18-Datos!BG18)/Datos!BG18),(Tasas!E18-Datos!BG18)/Datos!BG18," - ")</f>
        <v>-0.19548872180451124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7.6923076923076927E-2</v>
      </c>
      <c r="E23" s="399">
        <f>IF(ISNUMBER(
   IF(D_I="SI",(Datos!J23-Datos!T23)/Datos!T23,(Datos!J23+Datos!AD23-(Datos!T23+Datos!AL23))/(Datos!T23+Datos!AL23))
     ),IF(D_I="SI",(Datos!J23-Datos!T23)/Datos!T23,(Datos!J23+Datos!AD23-(Datos!T23+Datos!AL23))/(Datos!T23+Datos!AL23))," - ")</f>
        <v>-7.512953367875648E-2</v>
      </c>
      <c r="F23" s="399">
        <f>IF(ISNUMBER(
   IF(D_I="SI",(Datos!K23-Datos!U23)/Datos!U23,(Datos!K23+Datos!AE23-(Datos!U23+Datos!AM23))/(Datos!U23+Datos!AM23))
     ),IF(D_I="SI",(Datos!K23-Datos!U23)/Datos!U23,(Datos!K23+Datos!AE23-(Datos!U23+Datos!AM23))/(Datos!U23+Datos!AM23))," - ")</f>
        <v>-3.3639143730886847E-2</v>
      </c>
      <c r="G23" s="400">
        <f>IF(ISNUMBER(
   IF(D_I="SI",(Datos!L23-Datos!V23)/Datos!V23,(Datos!L23+Datos!AF23-(Datos!V23+Datos!AN23))/(Datos!V23+Datos!AN23))
     ),IF(D_I="SI",(Datos!L23-Datos!V23)/Datos!V23,(Datos!L23+Datos!AF23-(Datos!V23+Datos!AN23))/(Datos!V23+Datos!AN23))," - ")</f>
        <v>1.5384615384615385E-2</v>
      </c>
      <c r="H23" s="401">
        <f>IF(ISNUMBER((Datos!M23-Datos!W23)/Datos!W23),(Datos!M23-Datos!W23)/Datos!W23," - ")</f>
        <v>0.33333333333333331</v>
      </c>
      <c r="I23" s="402">
        <f>IF(ISNUMBER((Tasas!C23-Datos!BE23)/Datos!BE23),(Tasas!C23-Datos!BE23)/Datos!BE23," - ")</f>
        <v>5.0730282375852052E-2</v>
      </c>
      <c r="J23" s="400">
        <f>IF(ISNUMBER((Tasas!D23-Datos!BF23)/Datos!BF23),(Tasas!D23-Datos!BF23)/Datos!BF23," - ")</f>
        <v>0.37974683544303789</v>
      </c>
      <c r="K23" s="403">
        <f>IF(ISNUMBER((Tasas!E23-Datos!BG23)/Datos!BG23),(Tasas!E23-Datos!BG23)/Datos!BG23," - ")</f>
        <v>3.6143644786637064E-2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0.13475177304964539</v>
      </c>
      <c r="E31" s="409">
        <f>IF(ISNUMBER(
   IF(J_V="SI",(Datos!J31-Datos!T31)/Datos!T31,(Datos!J31+Datos!Z31-(Datos!T31+Datos!AH31))/(Datos!T31+Datos!AH31))
     ),IF(J_V="SI",(Datos!J31-Datos!T31)/Datos!T31,(Datos!J31+Datos!Z31-(Datos!T31+Datos!AH31))/(Datos!T31+Datos!AH31))," - ")</f>
        <v>7.4675324675324672E-2</v>
      </c>
      <c r="F31" s="409">
        <f>IF(ISNUMBER(
   IF(J_V="SI",(Datos!K31-Datos!U31)/Datos!U31,(Datos!K31+Datos!AA31-(Datos!U31+Datos!AI31))/(Datos!U31+Datos!AI31))
     ),IF(J_V="SI",(Datos!K31-Datos!U31)/Datos!U31,(Datos!K31+Datos!AA31-(Datos!U31+Datos!AI31))/(Datos!U31+Datos!AI31))," - ")</f>
        <v>-0.14310954063604239</v>
      </c>
      <c r="G31" s="410">
        <f>IF(ISNUMBER(
   IF(J_V="SI",(Datos!L31-Datos!V31)/Datos!V31,(Datos!L31+Datos!AB31-(Datos!V31+Datos!AJ31))/(Datos!V31+Datos!AJ31))
     ),IF(J_V="SI",(Datos!L31-Datos!V31)/Datos!V31,(Datos!L31+Datos!AB31-(Datos!V31+Datos!AJ31))/(Datos!V31+Datos!AJ31))," - ")</f>
        <v>0.23141891891891891</v>
      </c>
      <c r="H31" s="411">
        <f>IF(ISNUMBER((Datos!M31-Datos!W31)/Datos!W31),(Datos!M31-Datos!W31)/Datos!W31," - ")</f>
        <v>-0.10606060606060606</v>
      </c>
      <c r="I31" s="408">
        <f>IF(ISNUMBER((Tasas!C31-Datos!BE31)/Datos!BE31),(Tasas!C31-Datos!BE31)/Datos!BE31," - ")</f>
        <v>0.43707857341877943</v>
      </c>
      <c r="J31" s="409">
        <f>IF(ISNUMBER((Tasas!D31-Datos!BF31)/Datos!BF31),(Tasas!D31-Datos!BF31)/Datos!BF31," - ")</f>
        <v>-0.29741216074058496</v>
      </c>
      <c r="K31" s="410">
        <f>IF(ISNUMBER((Tasas!E31-Datos!BG31)/Datos!BG31),(Tasas!E31-Datos!BG31)/Datos!BG31," - ")</f>
        <v>0.29950345218953933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0.29039067264064278</v>
      </c>
      <c r="E33" s="303">
        <f t="shared" si="1"/>
        <v>0.52617375912663111</v>
      </c>
      <c r="F33" s="303">
        <f t="shared" si="1"/>
        <v>0.39409373057337765</v>
      </c>
      <c r="G33" s="304">
        <f t="shared" si="1"/>
        <v>0.22304114784921727</v>
      </c>
      <c r="H33" s="310">
        <f t="shared" si="1"/>
        <v>0.55444199693613938</v>
      </c>
      <c r="I33" s="302">
        <f t="shared" si="1"/>
        <v>0.54794056945491398</v>
      </c>
      <c r="J33" s="303">
        <f t="shared" si="1"/>
        <v>0.60987630545243687</v>
      </c>
      <c r="K33" s="304">
        <f t="shared" si="1"/>
        <v>0.41997849472249982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lAoRSjyIeEDW8vNxKIlxu/5euzh/L+oNKrgFrKz2LEo5WMrNZQ5tgLSJnDbNk84Q1tayyPJeRibgdf6/Ko3lA==" saltValue="TnIzGH6k+bqHRX/9qSRf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